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GS Arts &amp; Sciences\Server\FINAID\FINAID24\MA\Calculators\"/>
    </mc:Choice>
  </mc:AlternateContent>
  <workbookProtection lockStructure="1"/>
  <bookViews>
    <workbookView xWindow="0" yWindow="0" windowWidth="38400" windowHeight="13296"/>
  </bookViews>
  <sheets>
    <sheet name="MA Billing Estimator" sheetId="1" r:id="rId1"/>
    <sheet name="inputs" sheetId="2"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 l="1"/>
  <c r="L14" i="1"/>
  <c r="M13" i="1"/>
  <c r="L13" i="1"/>
  <c r="C13" i="1" l="1"/>
  <c r="D24" i="1" l="1"/>
  <c r="C32" i="1"/>
  <c r="L24" i="1"/>
  <c r="N24" i="1" s="1"/>
  <c r="K24" i="1"/>
  <c r="L33" i="1" l="1"/>
  <c r="D8" i="1" l="1"/>
  <c r="D6" i="1"/>
  <c r="I7" i="1" l="1"/>
  <c r="I6" i="1"/>
  <c r="I4" i="1"/>
  <c r="G10" i="1" l="1"/>
  <c r="M11" i="1" s="1"/>
  <c r="F10" i="1"/>
  <c r="L11" i="1" s="1"/>
  <c r="G9" i="1"/>
  <c r="M15" i="1" s="1"/>
  <c r="F9" i="1"/>
  <c r="L15" i="1" s="1"/>
  <c r="N16" i="1"/>
  <c r="I5" i="1"/>
  <c r="E8" i="1" s="1"/>
  <c r="M10" i="1" s="1"/>
  <c r="E6" i="1" l="1"/>
  <c r="L10" i="1" s="1"/>
  <c r="F17" i="1" l="1"/>
  <c r="M22" i="1" s="1"/>
  <c r="E17" i="1"/>
  <c r="L22" i="1" s="1"/>
  <c r="L23" i="1"/>
  <c r="N22" i="1" l="1"/>
  <c r="E25" i="1"/>
  <c r="F25" i="1"/>
  <c r="F24" i="1"/>
  <c r="E24" i="1"/>
  <c r="K17" i="1" l="1"/>
  <c r="F26" i="1"/>
  <c r="M21" i="1" s="1"/>
  <c r="E26" i="1"/>
  <c r="L21" i="1" s="1"/>
  <c r="L20" i="1"/>
  <c r="N23" i="1"/>
  <c r="M20" i="1"/>
  <c r="M19" i="1"/>
  <c r="M25" i="1" s="1"/>
  <c r="L19" i="1"/>
  <c r="L25" i="1" s="1"/>
  <c r="M17" i="1"/>
  <c r="L17" i="1"/>
  <c r="N14" i="1"/>
  <c r="N15" i="1"/>
  <c r="N13" i="1"/>
  <c r="N12" i="1"/>
  <c r="N11" i="1"/>
  <c r="N10" i="1"/>
  <c r="N20" i="1" l="1"/>
  <c r="N21" i="1"/>
  <c r="M18" i="1"/>
  <c r="N17" i="1"/>
  <c r="L18" i="1"/>
  <c r="N19" i="1"/>
  <c r="N18" i="1" l="1"/>
  <c r="M26" i="1"/>
  <c r="K29" i="1" s="1"/>
  <c r="N25" i="1"/>
  <c r="L26" i="1"/>
  <c r="K28" i="1" s="1"/>
  <c r="L32" i="1" l="1"/>
  <c r="L34" i="1" s="1"/>
  <c r="M34" i="1" s="1"/>
  <c r="N26" i="1"/>
  <c r="K27" i="1" s="1"/>
</calcChain>
</file>

<file path=xl/sharedStrings.xml><?xml version="1.0" encoding="utf-8"?>
<sst xmlns="http://schemas.openxmlformats.org/spreadsheetml/2006/main" count="87" uniqueCount="71">
  <si>
    <t>Are you an International Student?</t>
  </si>
  <si>
    <t> Fall</t>
  </si>
  <si>
    <t> Spring</t>
  </si>
  <si>
    <t> Total</t>
  </si>
  <si>
    <t>Will you enroll in the Columbia Medical Insurance Program?</t>
  </si>
  <si>
    <t>Net Loan Amount</t>
  </si>
  <si>
    <t>Federal Graduate PLUS Loan</t>
  </si>
  <si>
    <t>Private Education Loan</t>
  </si>
  <si>
    <t>Fall</t>
  </si>
  <si>
    <t>Spring</t>
  </si>
  <si>
    <t>Total Scholarship or Other Payments</t>
  </si>
  <si>
    <t xml:space="preserve">Federal Direct Unsubsidized </t>
  </si>
  <si>
    <t>Total Credits</t>
  </si>
  <si>
    <t>Remaining Amount Due</t>
  </si>
  <si>
    <t>Fall Amount</t>
  </si>
  <si>
    <t>Spring Amount</t>
  </si>
  <si>
    <t>University Services and Support Fee</t>
  </si>
  <si>
    <t>Tuition Deposit</t>
  </si>
  <si>
    <t>Columbia Fellowship</t>
  </si>
  <si>
    <t>Other (529 plan, savings)</t>
  </si>
  <si>
    <t xml:space="preserve">Outside Award </t>
  </si>
  <si>
    <t xml:space="preserve">Tuition </t>
  </si>
  <si>
    <t>ISSO Fee (International Students)</t>
  </si>
  <si>
    <t>Student Activity Fee</t>
  </si>
  <si>
    <t>Please select your program</t>
  </si>
  <si>
    <t>Click in each blue field to select or enter your response</t>
  </si>
  <si>
    <t>MA in Biotechnology</t>
  </si>
  <si>
    <t>MA in QMSS</t>
  </si>
  <si>
    <t>MA in Economics</t>
  </si>
  <si>
    <t>All Other Master's Programs</t>
  </si>
  <si>
    <t>MA in Mathematics of Finance, Statistics, and Statistics Hybrid</t>
  </si>
  <si>
    <t>Program</t>
  </si>
  <si>
    <t>Full Residence Unit</t>
  </si>
  <si>
    <t>Half Residence</t>
  </si>
  <si>
    <t>Quarter Residence</t>
  </si>
  <si>
    <t>Extended Residence</t>
  </si>
  <si>
    <t>Fall tuition</t>
  </si>
  <si>
    <t>Spring tuition</t>
  </si>
  <si>
    <t>Health Services Fee (mandatory)</t>
  </si>
  <si>
    <t>Document Fee (one-time)</t>
  </si>
  <si>
    <t>Health Svcs fee</t>
  </si>
  <si>
    <t>HSF</t>
  </si>
  <si>
    <t>UniFee</t>
  </si>
  <si>
    <t>Univ Svcs fee</t>
  </si>
  <si>
    <t>Total Estimated Charges</t>
  </si>
  <si>
    <t>Estimated 2023-2024 Charges and Credits</t>
  </si>
  <si>
    <t>Enter Any Expected Payments (amounts entered as whole dollars)</t>
  </si>
  <si>
    <t xml:space="preserve"> Max $20,500</t>
  </si>
  <si>
    <t xml:space="preserve">The actual Fall E-Bill will be sent in August and is due in September.  </t>
  </si>
  <si>
    <t>Click here for SFS billing schedule</t>
  </si>
  <si>
    <t>Total Cost of Attendance</t>
  </si>
  <si>
    <t>Total Financial Aid</t>
  </si>
  <si>
    <t>Remaining Eligibility</t>
  </si>
  <si>
    <t>Housing Deposit</t>
  </si>
  <si>
    <t>University Housing - Expected Rent</t>
  </si>
  <si>
    <t>Refer to your University Housing agreement to determine the below totals.</t>
  </si>
  <si>
    <t>Spring Semester Total   (January - May)</t>
  </si>
  <si>
    <t>Fall Semester Total     (Arrival - December)</t>
  </si>
  <si>
    <t xml:space="preserve">Total Academic Year Rent  </t>
  </si>
  <si>
    <t>Columbia Medical Insurance*</t>
  </si>
  <si>
    <t>****You are eligible to borrow up to the COA less any other aid you are receiving. Below is your estimated remaining eligibility. We encourage you to borrow only what you need.</t>
  </si>
  <si>
    <t>Input Any Loan Amounts You Plan to Borrow (gross amounts)****</t>
  </si>
  <si>
    <t>Federal Direct Unsubsidized Loan (net)**</t>
  </si>
  <si>
    <t>Federal Graduate PLUS Loan (net)***</t>
  </si>
  <si>
    <t>Please review the enrollment requirements on the Columbia Health site. Based on your enrollment category, you may need to actively opt-in or opt-out of health insurance.</t>
  </si>
  <si>
    <t>*Based on Student only; see Columbia Health site for dependent costs and optional coverage</t>
  </si>
  <si>
    <t xml:space="preserve">Please fill in all the relevant fields below to determine your estimated direct expenses. </t>
  </si>
  <si>
    <t>Indicate your planned enrollment category for Fall 2024</t>
  </si>
  <si>
    <t>Indicate your planned enrollment category for Spring 2025</t>
  </si>
  <si>
    <t>**Current Direct Unsubsidized loan fee is 1.057%, subject to change for loans first disbursed after October 1, 2024</t>
  </si>
  <si>
    <t>***Current Direct Graduate PLUS loan fee is 4.228%, subject to change for loans first disbursed after October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</si>
</sst>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_([$$-409]* #,##0_);_([$$-409]* \(#,##0\);_([$$-409]* &quot;-&quot;??_);_(@_)"/>
  </numFmts>
  <fonts count="21" x14ac:knownFonts="1">
    <font>
      <sz val="11"/>
      <color theme="1"/>
      <name val="Calibri"/>
      <family val="2"/>
      <scheme val="minor"/>
    </font>
    <font>
      <sz val="11"/>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b/>
      <sz val="12"/>
      <color rgb="FF000000"/>
      <name val="Calibri"/>
      <family val="2"/>
      <scheme val="minor"/>
    </font>
    <font>
      <b/>
      <sz val="11"/>
      <name val="Calibri"/>
      <family val="2"/>
      <scheme val="minor"/>
    </font>
    <font>
      <sz val="11"/>
      <color rgb="FF464646"/>
      <name val="Calibri"/>
      <family val="2"/>
      <scheme val="minor"/>
    </font>
    <font>
      <b/>
      <sz val="11"/>
      <color rgb="FF464646"/>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
      <b/>
      <sz val="10"/>
      <color rgb="FFFF0000"/>
      <name val="Calibri"/>
      <family val="2"/>
      <scheme val="minor"/>
    </font>
    <font>
      <u/>
      <sz val="11"/>
      <color theme="10"/>
      <name val="Calibri"/>
      <family val="2"/>
      <scheme val="minor"/>
    </font>
    <font>
      <sz val="9"/>
      <color theme="1"/>
      <name val="Calibri"/>
      <family val="2"/>
      <scheme val="minor"/>
    </font>
    <font>
      <b/>
      <i/>
      <u/>
      <sz val="11"/>
      <name val="Calibri"/>
      <family val="2"/>
      <scheme val="minor"/>
    </font>
    <font>
      <u/>
      <sz val="9"/>
      <color theme="10"/>
      <name val="Calibri"/>
      <family val="2"/>
      <scheme val="minor"/>
    </font>
    <font>
      <b/>
      <u/>
      <sz val="9"/>
      <color theme="10"/>
      <name val="Calibri"/>
      <family val="2"/>
      <scheme val="minor"/>
    </font>
    <font>
      <sz val="11"/>
      <color theme="2" tint="-0.74999237037263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6"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theme="4"/>
        <bgColor theme="4"/>
      </patternFill>
    </fill>
    <fill>
      <patternFill patternType="solid">
        <fgColor rgb="FFFEFEBE"/>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rgb="FFFF0000"/>
      </left>
      <right style="medium">
        <color rgb="FFFF0000"/>
      </right>
      <top/>
      <bottom style="medium">
        <color rgb="FFFF0000"/>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74">
    <xf numFmtId="0" fontId="0" fillId="0" borderId="0" xfId="0"/>
    <xf numFmtId="0" fontId="0" fillId="0" borderId="0" xfId="0" applyFont="1"/>
    <xf numFmtId="0" fontId="0" fillId="0" borderId="0" xfId="0" applyFont="1" applyBorder="1"/>
    <xf numFmtId="1" fontId="0" fillId="0" borderId="0" xfId="0" applyNumberFormat="1" applyFont="1"/>
    <xf numFmtId="0" fontId="5" fillId="0" borderId="0" xfId="0" applyFont="1" applyFill="1" applyBorder="1" applyAlignment="1" applyProtection="1">
      <alignment horizontal="left" vertical="center"/>
    </xf>
    <xf numFmtId="44" fontId="7" fillId="6" borderId="4" xfId="1" applyFont="1" applyFill="1" applyBorder="1" applyAlignment="1" applyProtection="1">
      <alignment horizontal="left" vertical="center"/>
      <protection locked="0"/>
    </xf>
    <xf numFmtId="0" fontId="7" fillId="6" borderId="4" xfId="0" applyFont="1" applyFill="1" applyBorder="1" applyAlignment="1" applyProtection="1">
      <alignment horizontal="left" vertical="center"/>
      <protection locked="0"/>
    </xf>
    <xf numFmtId="164" fontId="7" fillId="6" borderId="4" xfId="1" applyNumberFormat="1" applyFont="1" applyFill="1" applyBorder="1" applyAlignment="1" applyProtection="1">
      <alignment horizontal="left" vertical="center"/>
      <protection locked="0"/>
    </xf>
    <xf numFmtId="164" fontId="7" fillId="6" borderId="10" xfId="1" applyNumberFormat="1" applyFont="1" applyFill="1" applyBorder="1" applyAlignment="1" applyProtection="1">
      <alignment horizontal="left" vertical="center"/>
      <protection locked="0"/>
    </xf>
    <xf numFmtId="164" fontId="7" fillId="5" borderId="4" xfId="1" applyNumberFormat="1" applyFont="1" applyFill="1" applyBorder="1" applyAlignment="1" applyProtection="1">
      <alignment horizontal="left" vertical="center"/>
    </xf>
    <xf numFmtId="0" fontId="5" fillId="2" borderId="1" xfId="0" applyFont="1" applyFill="1" applyBorder="1" applyAlignment="1" applyProtection="1">
      <alignment horizontal="lef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8" fillId="3" borderId="5" xfId="0" applyFont="1" applyFill="1" applyBorder="1" applyAlignment="1" applyProtection="1">
      <alignment vertical="center"/>
    </xf>
    <xf numFmtId="44" fontId="9" fillId="3" borderId="6" xfId="1" applyNumberFormat="1" applyFont="1" applyFill="1" applyBorder="1" applyAlignment="1" applyProtection="1">
      <alignment horizontal="center" vertical="center"/>
    </xf>
    <xf numFmtId="44" fontId="9" fillId="3" borderId="6" xfId="1" applyFont="1" applyFill="1" applyBorder="1" applyAlignment="1" applyProtection="1">
      <alignment horizontal="center" vertical="center"/>
    </xf>
    <xf numFmtId="0" fontId="0" fillId="0" borderId="0" xfId="0" applyFont="1" applyAlignment="1">
      <alignment wrapText="1"/>
    </xf>
    <xf numFmtId="0" fontId="9" fillId="4" borderId="7" xfId="0" applyFont="1" applyFill="1" applyBorder="1" applyAlignment="1" applyProtection="1">
      <alignment vertical="center"/>
    </xf>
    <xf numFmtId="44" fontId="9" fillId="4" borderId="8" xfId="1" applyNumberFormat="1" applyFont="1" applyFill="1" applyBorder="1" applyAlignment="1" applyProtection="1">
      <alignment horizontal="center" vertical="center"/>
    </xf>
    <xf numFmtId="44" fontId="9" fillId="4" borderId="9" xfId="1" applyNumberFormat="1" applyFont="1" applyFill="1" applyBorder="1" applyAlignment="1" applyProtection="1">
      <alignment horizontal="center" vertical="center"/>
    </xf>
    <xf numFmtId="0" fontId="0" fillId="0" borderId="0" xfId="0" applyFont="1" applyAlignment="1"/>
    <xf numFmtId="0" fontId="4" fillId="0" borderId="0" xfId="0" applyFont="1" applyProtection="1"/>
    <xf numFmtId="0" fontId="4" fillId="0" borderId="0" xfId="0" applyFont="1" applyAlignment="1" applyProtection="1">
      <alignment horizontal="right"/>
    </xf>
    <xf numFmtId="0" fontId="6" fillId="0" borderId="0" xfId="0" applyFont="1" applyFill="1" applyBorder="1" applyAlignment="1" applyProtection="1">
      <alignment horizontal="left" vertical="center"/>
    </xf>
    <xf numFmtId="164" fontId="0" fillId="0" borderId="0" xfId="0" applyNumberFormat="1" applyFont="1"/>
    <xf numFmtId="0" fontId="0" fillId="6" borderId="4" xfId="0" applyFont="1" applyFill="1" applyBorder="1"/>
    <xf numFmtId="0" fontId="2" fillId="0" borderId="0" xfId="0" applyFont="1"/>
    <xf numFmtId="164" fontId="7" fillId="0" borderId="0" xfId="1" applyNumberFormat="1" applyFont="1" applyFill="1" applyBorder="1" applyAlignment="1" applyProtection="1">
      <alignment horizontal="left" vertical="center"/>
      <protection locked="0"/>
    </xf>
    <xf numFmtId="164" fontId="7" fillId="6" borderId="14" xfId="1" applyNumberFormat="1" applyFont="1" applyFill="1" applyBorder="1" applyAlignment="1" applyProtection="1">
      <alignment horizontal="left" vertical="center"/>
      <protection locked="0"/>
    </xf>
    <xf numFmtId="16" fontId="0" fillId="0" borderId="0" xfId="0" applyNumberFormat="1"/>
    <xf numFmtId="165" fontId="0" fillId="0" borderId="0" xfId="0" applyNumberFormat="1"/>
    <xf numFmtId="164" fontId="7" fillId="0" borderId="0" xfId="1" applyNumberFormat="1" applyFont="1" applyFill="1" applyBorder="1" applyAlignment="1" applyProtection="1">
      <alignment horizontal="left" vertical="center"/>
    </xf>
    <xf numFmtId="0" fontId="3" fillId="7" borderId="15" xfId="0" applyFont="1" applyFill="1" applyBorder="1"/>
    <xf numFmtId="16" fontId="3" fillId="7" borderId="16" xfId="0" applyNumberFormat="1" applyFont="1" applyFill="1" applyBorder="1"/>
    <xf numFmtId="0" fontId="3" fillId="7" borderId="16" xfId="0" applyFont="1" applyFill="1" applyBorder="1"/>
    <xf numFmtId="0" fontId="3" fillId="7" borderId="17" xfId="0" applyFont="1" applyFill="1" applyBorder="1"/>
    <xf numFmtId="16" fontId="0" fillId="0" borderId="0" xfId="0" applyNumberFormat="1" applyFont="1"/>
    <xf numFmtId="0" fontId="9" fillId="8" borderId="11" xfId="0" applyFont="1" applyFill="1" applyBorder="1" applyAlignment="1" applyProtection="1">
      <alignment vertical="center"/>
    </xf>
    <xf numFmtId="44" fontId="9" fillId="8" borderId="12" xfId="1" applyNumberFormat="1" applyFont="1" applyFill="1" applyBorder="1" applyAlignment="1" applyProtection="1">
      <alignment horizontal="center" vertical="center"/>
    </xf>
    <xf numFmtId="44" fontId="9" fillId="8" borderId="13" xfId="1" applyNumberFormat="1" applyFont="1" applyFill="1" applyBorder="1" applyAlignment="1" applyProtection="1">
      <alignment horizontal="center" vertical="center"/>
    </xf>
    <xf numFmtId="44" fontId="1" fillId="0" borderId="0" xfId="1" applyNumberFormat="1" applyFont="1" applyFill="1" applyBorder="1" applyAlignment="1">
      <alignment horizontal="center" vertical="center"/>
    </xf>
    <xf numFmtId="44" fontId="8" fillId="0" borderId="0" xfId="1" applyNumberFormat="1" applyFont="1" applyFill="1" applyBorder="1" applyAlignment="1" applyProtection="1">
      <alignment horizontal="center" vertical="center"/>
    </xf>
    <xf numFmtId="44" fontId="8" fillId="0" borderId="0" xfId="1" quotePrefix="1" applyNumberFormat="1" applyFont="1" applyFill="1" applyBorder="1" applyAlignment="1" applyProtection="1">
      <alignment horizontal="center" vertical="center"/>
    </xf>
    <xf numFmtId="0" fontId="11" fillId="9" borderId="0" xfId="0" applyFont="1" applyFill="1"/>
    <xf numFmtId="0" fontId="0" fillId="9" borderId="0" xfId="0" applyFont="1" applyFill="1"/>
    <xf numFmtId="164" fontId="7" fillId="0" borderId="0" xfId="1" applyNumberFormat="1" applyFont="1" applyFill="1" applyBorder="1" applyAlignment="1" applyProtection="1">
      <alignment horizontal="left"/>
    </xf>
    <xf numFmtId="0" fontId="12" fillId="0" borderId="0" xfId="0" applyFont="1"/>
    <xf numFmtId="0" fontId="13" fillId="0" borderId="0" xfId="0" applyFont="1" applyFill="1"/>
    <xf numFmtId="0" fontId="14" fillId="0" borderId="0" xfId="0" applyFont="1" applyAlignment="1">
      <alignment horizontal="right"/>
    </xf>
    <xf numFmtId="0" fontId="10" fillId="0" borderId="0" xfId="0" applyFont="1" applyAlignment="1">
      <alignment horizontal="left"/>
    </xf>
    <xf numFmtId="0" fontId="10" fillId="0" borderId="0" xfId="0" applyFont="1"/>
    <xf numFmtId="0" fontId="16" fillId="0" borderId="0" xfId="0" applyFont="1"/>
    <xf numFmtId="0" fontId="0" fillId="0" borderId="0" xfId="0" applyAlignment="1">
      <alignment horizontal="right"/>
    </xf>
    <xf numFmtId="0" fontId="4" fillId="0" borderId="0" xfId="0" applyFont="1" applyAlignment="1">
      <alignment horizontal="right"/>
    </xf>
    <xf numFmtId="44" fontId="0" fillId="0" borderId="18" xfId="0" applyNumberFormat="1" applyBorder="1" applyAlignment="1"/>
    <xf numFmtId="164" fontId="0" fillId="0" borderId="19" xfId="0" applyNumberFormat="1" applyBorder="1" applyAlignment="1"/>
    <xf numFmtId="44" fontId="0" fillId="0" borderId="4" xfId="0" applyNumberFormat="1" applyBorder="1" applyAlignment="1"/>
    <xf numFmtId="0" fontId="0" fillId="0" borderId="0" xfId="0" applyAlignment="1">
      <alignment wrapText="1"/>
    </xf>
    <xf numFmtId="44" fontId="1" fillId="0" borderId="0" xfId="1" applyNumberFormat="1" applyFont="1" applyFill="1" applyBorder="1"/>
    <xf numFmtId="0" fontId="17" fillId="0" borderId="0" xfId="0" applyFont="1"/>
    <xf numFmtId="0" fontId="15" fillId="0" borderId="0" xfId="2" applyAlignment="1">
      <alignment horizontal="left"/>
    </xf>
    <xf numFmtId="0" fontId="0" fillId="0" borderId="0" xfId="0" applyAlignment="1">
      <alignment horizontal="left" wrapText="1"/>
    </xf>
    <xf numFmtId="0" fontId="0" fillId="0" borderId="6" xfId="0" applyBorder="1" applyAlignment="1">
      <alignment wrapText="1"/>
    </xf>
    <xf numFmtId="0" fontId="6" fillId="0" borderId="0" xfId="0" applyFont="1" applyFill="1" applyBorder="1" applyAlignment="1" applyProtection="1">
      <alignment horizontal="left"/>
    </xf>
    <xf numFmtId="0" fontId="19" fillId="0" borderId="0" xfId="2" applyFont="1" applyAlignment="1">
      <alignment horizontal="left" wrapText="1"/>
    </xf>
    <xf numFmtId="0" fontId="19" fillId="0" borderId="0" xfId="2" applyFont="1" applyAlignment="1">
      <alignment wrapText="1"/>
    </xf>
    <xf numFmtId="0" fontId="19" fillId="0" borderId="6" xfId="2" applyFont="1" applyBorder="1" applyAlignment="1">
      <alignment wrapText="1"/>
    </xf>
    <xf numFmtId="0" fontId="18" fillId="0" borderId="0" xfId="2" applyFont="1" applyAlignment="1"/>
    <xf numFmtId="0" fontId="0" fillId="0" borderId="0" xfId="0" applyAlignment="1"/>
    <xf numFmtId="0" fontId="0" fillId="0" borderId="0" xfId="0" applyFont="1" applyAlignment="1">
      <alignment wrapText="1"/>
    </xf>
    <xf numFmtId="0" fontId="13" fillId="0" borderId="0" xfId="0" applyFont="1" applyAlignment="1">
      <alignment wrapText="1"/>
    </xf>
    <xf numFmtId="0" fontId="0" fillId="0" borderId="0" xfId="0" applyAlignment="1">
      <alignment wrapText="1"/>
    </xf>
    <xf numFmtId="0" fontId="15" fillId="0" borderId="0" xfId="2"/>
    <xf numFmtId="44" fontId="20" fillId="0" borderId="0" xfId="1" applyNumberFormat="1" applyFont="1" applyFill="1" applyBorder="1" applyAlignment="1">
      <alignment horizontal="center" vertical="center"/>
    </xf>
  </cellXfs>
  <cellStyles count="3">
    <cellStyle name="Currency" xfId="1" builtinId="4"/>
    <cellStyle name="Hyperlink" xfId="2" builtinId="8"/>
    <cellStyle name="Normal" xfId="0" builtinId="0"/>
  </cellStyles>
  <dxfs count="4">
    <dxf>
      <numFmt numFmtId="165" formatCode="_([$$-409]* #,##0_);_([$$-409]* \(#,##0\);_([$$-409]* &quot;-&quot;??_);_(@_)"/>
    </dxf>
    <dxf>
      <numFmt numFmtId="165" formatCode="_([$$-409]* #,##0_);_([$$-409]* \(#,##0\);_([$$-409]* &quot;-&quot;??_);_(@_)"/>
    </dxf>
    <dxf>
      <numFmt numFmtId="165" formatCode="_([$$-409]* #,##0_);_([$$-409]* \(#,##0\);_([$$-409]* &quot;-&quot;??_);_(@_)"/>
    </dxf>
    <dxf>
      <numFmt numFmtId="165" formatCode="_([$$-409]* #,##0_);_([$$-409]* \(#,##0\);_([$$-409]* &quot;-&quot;??_);_(@_)"/>
    </dxf>
  </dxfs>
  <tableStyles count="0" defaultTableStyle="TableStyleMedium2" defaultPivotStyle="PivotStyleLight16"/>
  <colors>
    <mruColors>
      <color rgb="FFFEF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323850</xdr:colOff>
      <xdr:row>2</xdr:row>
      <xdr:rowOff>152400</xdr:rowOff>
    </xdr:from>
    <xdr:to>
      <xdr:col>10</xdr:col>
      <xdr:colOff>2514363</xdr:colOff>
      <xdr:row>5</xdr:row>
      <xdr:rowOff>219075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950" y="723900"/>
          <a:ext cx="3080148" cy="866775"/>
        </a:xfrm>
        <a:prstGeom prst="rect">
          <a:avLst/>
        </a:prstGeom>
      </xdr:spPr>
    </xdr:pic>
    <xdr:clientData/>
  </xdr:twoCellAnchor>
</xdr:wsDr>
</file>

<file path=xl/tables/table1.xml><?xml version="1.0" encoding="utf-8"?>
<table xmlns="http://schemas.openxmlformats.org/spreadsheetml/2006/main" id="1" name="Table1" displayName="Table1" ref="A3:A8" totalsRowShown="0">
  <autoFilter ref="A3:A8"/>
  <tableColumns count="1">
    <tableColumn id="1" name="Program"/>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3:E14" totalsRowShown="0">
  <autoFilter ref="B3:E14"/>
  <tableColumns count="4">
    <tableColumn id="1" name="Full Residence Unit" dataDxfId="3"/>
    <tableColumn id="2" name="Half Residence" dataDxfId="2"/>
    <tableColumn id="3" name="Quarter Residence" dataDxfId="1"/>
    <tableColumn id="4" name="Extended Reside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alth.columbia.edu/content/about-columbia-university-student-health-insurance-plan" TargetMode="External"/><Relationship Id="rId2" Type="http://schemas.openxmlformats.org/officeDocument/2006/relationships/hyperlink" Target="https://www.health.columbia.edu/content/request-waiver" TargetMode="External"/><Relationship Id="rId1" Type="http://schemas.openxmlformats.org/officeDocument/2006/relationships/hyperlink" Target="https://sfs.columbia.edu/content/billing-schedule" TargetMode="External"/><Relationship Id="rId5" Type="http://schemas.openxmlformats.org/officeDocument/2006/relationships/drawing" Target="../drawings/drawing1.xml"/><Relationship Id="rId4" Type="http://schemas.openxmlformats.org/officeDocument/2006/relationships/hyperlink" Target="https://www.health.columbia.edu/content/about-columbia-university-student-health-insurance-pla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6"/>
  <sheetViews>
    <sheetView showGridLines="0" tabSelected="1" workbookViewId="0">
      <selection activeCell="B13" sqref="B13"/>
    </sheetView>
  </sheetViews>
  <sheetFormatPr defaultColWidth="8.88671875" defaultRowHeight="14.4" x14ac:dyDescent="0.3"/>
  <cols>
    <col min="1" max="1" width="2.88671875" style="1" customWidth="1"/>
    <col min="2" max="2" width="26.109375" style="1" customWidth="1"/>
    <col min="3" max="3" width="18.6640625" style="1" customWidth="1"/>
    <col min="4" max="4" width="15.109375" style="1" customWidth="1"/>
    <col min="5" max="5" width="8.33203125" style="1" hidden="1" customWidth="1"/>
    <col min="6" max="6" width="6" style="1" hidden="1" customWidth="1"/>
    <col min="7" max="7" width="9" style="1" hidden="1" customWidth="1"/>
    <col min="8" max="8" width="10" style="1" hidden="1" customWidth="1"/>
    <col min="9" max="9" width="5.33203125" style="1" hidden="1" customWidth="1"/>
    <col min="10" max="10" width="13.44140625" style="1" customWidth="1"/>
    <col min="11" max="11" width="38.109375" style="1" customWidth="1"/>
    <col min="12" max="14" width="20.6640625" style="1" customWidth="1"/>
    <col min="15" max="16384" width="8.88671875" style="1"/>
  </cols>
  <sheetData>
    <row r="1" spans="2:14" ht="21" customHeight="1" x14ac:dyDescent="0.3">
      <c r="B1" s="43" t="s">
        <v>66</v>
      </c>
      <c r="C1" s="44"/>
      <c r="D1" s="44"/>
      <c r="E1" s="44"/>
      <c r="F1" s="44"/>
      <c r="G1" s="44"/>
      <c r="H1" s="44"/>
      <c r="I1" s="44"/>
      <c r="J1" s="44"/>
      <c r="K1" s="44"/>
    </row>
    <row r="2" spans="2:14" ht="21" customHeight="1" x14ac:dyDescent="0.3">
      <c r="B2" s="1" t="s">
        <v>25</v>
      </c>
    </row>
    <row r="3" spans="2:14" ht="21" customHeight="1" thickBot="1" x14ac:dyDescent="0.35">
      <c r="B3" s="26" t="s">
        <v>24</v>
      </c>
    </row>
    <row r="4" spans="2:14" ht="21" customHeight="1" thickBot="1" x14ac:dyDescent="0.35">
      <c r="B4" s="25"/>
      <c r="H4" s="1" t="s">
        <v>32</v>
      </c>
      <c r="I4" s="1" t="e">
        <f>VLOOKUP(B4, inputs!$A$4:$E$8, 2, FALSE)</f>
        <v>#N/A</v>
      </c>
      <c r="L4" s="59"/>
    </row>
    <row r="5" spans="2:14" ht="21" customHeight="1" thickBot="1" x14ac:dyDescent="0.35">
      <c r="B5" s="26" t="s">
        <v>67</v>
      </c>
      <c r="E5" s="1" t="s">
        <v>36</v>
      </c>
      <c r="H5" s="36" t="s">
        <v>33</v>
      </c>
      <c r="I5" s="1" t="e">
        <f>VLOOKUP(B4, inputs!$A$4:$E$8, 3, FALSE)</f>
        <v>#N/A</v>
      </c>
      <c r="L5" s="59"/>
    </row>
    <row r="6" spans="2:14" ht="21" customHeight="1" thickBot="1" x14ac:dyDescent="0.35">
      <c r="B6" s="25"/>
      <c r="D6" s="48" t="str">
        <f>IF(B6=inputs!A13, "6 credits required for federal aid", " ")</f>
        <v xml:space="preserve"> </v>
      </c>
      <c r="E6" s="1" t="e">
        <f>VLOOKUP(B6, H4:I7, 2, FALSE)</f>
        <v>#N/A</v>
      </c>
      <c r="H6" s="1" t="s">
        <v>34</v>
      </c>
      <c r="I6" s="1" t="e">
        <f>VLOOKUP(B4, inputs!$A$4:$E$8, 4, FALSE)</f>
        <v>#N/A</v>
      </c>
    </row>
    <row r="7" spans="2:14" ht="21" customHeight="1" thickBot="1" x14ac:dyDescent="0.35">
      <c r="B7" s="26" t="s">
        <v>68</v>
      </c>
      <c r="E7" s="1" t="s">
        <v>37</v>
      </c>
      <c r="H7" s="1" t="s">
        <v>35</v>
      </c>
      <c r="I7" s="1" t="e">
        <f>VLOOKUP(B4, inputs!$A$4:$E$8, 5, FALSE)</f>
        <v>#N/A</v>
      </c>
    </row>
    <row r="8" spans="2:14" ht="21" customHeight="1" thickBot="1" x14ac:dyDescent="0.35">
      <c r="B8" s="25"/>
      <c r="D8" s="48" t="str">
        <f>IF(B8=inputs!A13, "6 credits required for federal aid", " ")</f>
        <v xml:space="preserve"> </v>
      </c>
      <c r="E8" s="1" t="e">
        <f>VLOOKUP(B8, H4:I7, 2, FALSE)</f>
        <v>#N/A</v>
      </c>
      <c r="K8" s="50" t="s">
        <v>48</v>
      </c>
      <c r="M8" s="72" t="s">
        <v>49</v>
      </c>
    </row>
    <row r="9" spans="2:14" ht="21" customHeight="1" thickBot="1" x14ac:dyDescent="0.35">
      <c r="B9" s="63" t="s">
        <v>0</v>
      </c>
      <c r="E9" s="1" t="s">
        <v>41</v>
      </c>
      <c r="F9" s="1" t="e">
        <f>VLOOKUP(B6, inputs!$A$11:$B$14, 2, FALSE)</f>
        <v>#N/A</v>
      </c>
      <c r="G9" s="1" t="e">
        <f>VLOOKUP(B8, inputs!$A$11:$B$14, 2, FALSE)</f>
        <v>#N/A</v>
      </c>
      <c r="K9" s="10" t="s">
        <v>45</v>
      </c>
      <c r="L9" s="11" t="s">
        <v>1</v>
      </c>
      <c r="M9" s="11" t="s">
        <v>2</v>
      </c>
      <c r="N9" s="12" t="s">
        <v>3</v>
      </c>
    </row>
    <row r="10" spans="2:14" ht="21" customHeight="1" thickBot="1" x14ac:dyDescent="0.35">
      <c r="B10" s="5"/>
      <c r="E10" s="1" t="s">
        <v>42</v>
      </c>
      <c r="F10" s="1" t="e">
        <f>VLOOKUP(B6, inputs!$A$17:$B$20, 2, FALSE)</f>
        <v>#N/A</v>
      </c>
      <c r="G10" s="1" t="e">
        <f>VLOOKUP(B8, inputs!$A$17:$B$20, 2, FALSE)</f>
        <v>#N/A</v>
      </c>
      <c r="K10" s="13" t="s">
        <v>21</v>
      </c>
      <c r="L10" s="41" t="e">
        <f>E6</f>
        <v>#N/A</v>
      </c>
      <c r="M10" s="41" t="e">
        <f>E8</f>
        <v>#N/A</v>
      </c>
      <c r="N10" s="14" t="e">
        <f>SUM(L10:M10)</f>
        <v>#N/A</v>
      </c>
    </row>
    <row r="11" spans="2:14" ht="20.25" customHeight="1" x14ac:dyDescent="0.3">
      <c r="B11" s="63" t="s">
        <v>4</v>
      </c>
      <c r="D11" s="61"/>
      <c r="E11" s="57"/>
      <c r="F11" s="57"/>
      <c r="H11" s="57"/>
      <c r="I11" s="57"/>
      <c r="J11" s="62"/>
      <c r="K11" s="13" t="s">
        <v>16</v>
      </c>
      <c r="L11" s="41" t="e">
        <f>F10</f>
        <v>#N/A</v>
      </c>
      <c r="M11" s="41" t="e">
        <f>G10</f>
        <v>#N/A</v>
      </c>
      <c r="N11" s="14" t="e">
        <f t="shared" ref="N11:N15" si="0">SUM(L11:M11)</f>
        <v>#N/A</v>
      </c>
    </row>
    <row r="12" spans="2:14" ht="29.25" customHeight="1" thickBot="1" x14ac:dyDescent="0.35">
      <c r="B12" s="64" t="s">
        <v>64</v>
      </c>
      <c r="C12" s="65"/>
      <c r="D12" s="65"/>
      <c r="E12" s="65"/>
      <c r="F12" s="65"/>
      <c r="G12" s="65"/>
      <c r="H12" s="65"/>
      <c r="I12" s="65"/>
      <c r="J12" s="66"/>
      <c r="K12" s="13" t="s">
        <v>23</v>
      </c>
      <c r="L12" s="41">
        <v>46</v>
      </c>
      <c r="M12" s="41">
        <v>46</v>
      </c>
      <c r="N12" s="14">
        <f t="shared" si="0"/>
        <v>92</v>
      </c>
    </row>
    <row r="13" spans="2:14" ht="21" customHeight="1" thickBot="1" x14ac:dyDescent="0.35">
      <c r="B13" s="6"/>
      <c r="C13" s="60" t="str">
        <f>IF(B13="No", "      Review the Columbia Health waiver information", " ")</f>
        <v xml:space="preserve"> </v>
      </c>
      <c r="K13" s="13" t="s">
        <v>22</v>
      </c>
      <c r="L13" s="73">
        <f>IF(B10="Yes",160,0)</f>
        <v>0</v>
      </c>
      <c r="M13" s="73">
        <f>IF(B10="Yes",160,0)</f>
        <v>0</v>
      </c>
      <c r="N13" s="15">
        <f>SUM(L13:M13)</f>
        <v>0</v>
      </c>
    </row>
    <row r="14" spans="2:14" ht="21" customHeight="1" thickBot="1" x14ac:dyDescent="0.35">
      <c r="B14" s="23" t="s">
        <v>46</v>
      </c>
      <c r="E14" s="1" t="s">
        <v>5</v>
      </c>
      <c r="K14" s="13" t="s">
        <v>59</v>
      </c>
      <c r="L14" s="41">
        <f>IF(B13= "Yes", 1888, IF(B13= "No", 0,0))</f>
        <v>0</v>
      </c>
      <c r="M14" s="41">
        <f>IF(B13= "Yes",3067, IF(B13= "No",0,0))</f>
        <v>0</v>
      </c>
      <c r="N14" s="14">
        <f>SUM(L14:M14)</f>
        <v>0</v>
      </c>
    </row>
    <row r="15" spans="2:14" ht="21" customHeight="1" thickBot="1" x14ac:dyDescent="0.35">
      <c r="B15" s="16" t="s">
        <v>17</v>
      </c>
      <c r="C15" s="7"/>
      <c r="D15" s="27"/>
      <c r="E15" s="1" t="s">
        <v>8</v>
      </c>
      <c r="F15" s="1" t="s">
        <v>9</v>
      </c>
      <c r="I15" s="2"/>
      <c r="J15" s="2"/>
      <c r="K15" s="13" t="s">
        <v>38</v>
      </c>
      <c r="L15" s="42" t="e">
        <f>F9</f>
        <v>#N/A</v>
      </c>
      <c r="M15" s="41" t="e">
        <f>G9</f>
        <v>#N/A</v>
      </c>
      <c r="N15" s="14" t="e">
        <f t="shared" si="0"/>
        <v>#N/A</v>
      </c>
    </row>
    <row r="16" spans="2:14" ht="21" customHeight="1" thickBot="1" x14ac:dyDescent="0.35">
      <c r="B16" s="16" t="s">
        <v>18</v>
      </c>
      <c r="C16" s="7">
        <v>0</v>
      </c>
      <c r="D16" s="27"/>
      <c r="E16" s="24"/>
      <c r="I16" s="2"/>
      <c r="J16" s="2"/>
      <c r="K16" s="13" t="s">
        <v>39</v>
      </c>
      <c r="L16" s="42">
        <v>105</v>
      </c>
      <c r="M16" s="41">
        <v>0</v>
      </c>
      <c r="N16" s="14">
        <f>SUM(L16:M16)</f>
        <v>105</v>
      </c>
    </row>
    <row r="17" spans="2:14" ht="21" customHeight="1" x14ac:dyDescent="0.3">
      <c r="B17" s="16"/>
      <c r="C17" s="27"/>
      <c r="D17" s="27"/>
      <c r="E17" s="1">
        <f>IF(C16&gt;8000, (C16/2), C16)</f>
        <v>0</v>
      </c>
      <c r="F17" s="1">
        <f>IF(C16&gt;8000, (C16/2), 0)</f>
        <v>0</v>
      </c>
      <c r="I17" s="2"/>
      <c r="J17" s="2"/>
      <c r="K17" s="13" t="str">
        <f>IF(C32&lt;&gt;0, "University Housing","")</f>
        <v/>
      </c>
      <c r="L17" s="40">
        <f>B30</f>
        <v>0</v>
      </c>
      <c r="M17" s="40">
        <f>B31</f>
        <v>0</v>
      </c>
      <c r="N17" s="15">
        <f>SUM(L17:M17)</f>
        <v>0</v>
      </c>
    </row>
    <row r="18" spans="2:14" ht="21" customHeight="1" thickBot="1" x14ac:dyDescent="0.35">
      <c r="B18" s="16"/>
      <c r="C18" s="27" t="s">
        <v>14</v>
      </c>
      <c r="D18" s="27" t="s">
        <v>15</v>
      </c>
      <c r="K18" s="17" t="s">
        <v>44</v>
      </c>
      <c r="L18" s="18" t="e">
        <f>SUM(L10:L17)</f>
        <v>#N/A</v>
      </c>
      <c r="M18" s="18" t="e">
        <f>SUM(M10:M17)</f>
        <v>#N/A</v>
      </c>
      <c r="N18" s="19" t="e">
        <f>SUM(L18:M18)</f>
        <v>#N/A</v>
      </c>
    </row>
    <row r="19" spans="2:14" ht="21" customHeight="1" thickBot="1" x14ac:dyDescent="0.35">
      <c r="B19" s="16" t="s">
        <v>20</v>
      </c>
      <c r="C19" s="28">
        <v>0</v>
      </c>
      <c r="D19" s="7">
        <v>0</v>
      </c>
      <c r="K19" s="13" t="s">
        <v>62</v>
      </c>
      <c r="L19" s="41">
        <f t="shared" ref="L19:M21" si="1">E24</f>
        <v>0</v>
      </c>
      <c r="M19" s="41">
        <f t="shared" si="1"/>
        <v>0</v>
      </c>
      <c r="N19" s="14">
        <f t="shared" ref="N19:N21" si="2">SUM(L19:M19)</f>
        <v>0</v>
      </c>
    </row>
    <row r="20" spans="2:14" ht="21" customHeight="1" thickBot="1" x14ac:dyDescent="0.35">
      <c r="B20" s="16" t="s">
        <v>19</v>
      </c>
      <c r="C20" s="28">
        <v>0</v>
      </c>
      <c r="D20" s="7">
        <v>0</v>
      </c>
      <c r="K20" s="13" t="s">
        <v>63</v>
      </c>
      <c r="L20" s="41">
        <f t="shared" si="1"/>
        <v>0</v>
      </c>
      <c r="M20" s="41">
        <f t="shared" si="1"/>
        <v>0</v>
      </c>
      <c r="N20" s="14">
        <f t="shared" si="2"/>
        <v>0</v>
      </c>
    </row>
    <row r="21" spans="2:14" ht="21" customHeight="1" x14ac:dyDescent="0.3">
      <c r="I21" s="2"/>
      <c r="J21" s="2"/>
      <c r="K21" s="13" t="s">
        <v>7</v>
      </c>
      <c r="L21" s="41">
        <f t="shared" si="1"/>
        <v>0</v>
      </c>
      <c r="M21" s="41">
        <f t="shared" si="1"/>
        <v>0</v>
      </c>
      <c r="N21" s="14">
        <f t="shared" si="2"/>
        <v>0</v>
      </c>
    </row>
    <row r="22" spans="2:14" ht="21" customHeight="1" thickBot="1" x14ac:dyDescent="0.35">
      <c r="B22" s="23" t="s">
        <v>61</v>
      </c>
      <c r="K22" s="13" t="s">
        <v>10</v>
      </c>
      <c r="L22" s="41">
        <f>E17+C19+C20</f>
        <v>0</v>
      </c>
      <c r="M22" s="41">
        <f>F17+D19+D20</f>
        <v>0</v>
      </c>
      <c r="N22" s="14">
        <f>SUM(L22:M22)</f>
        <v>0</v>
      </c>
    </row>
    <row r="23" spans="2:14" ht="21" customHeight="1" thickBot="1" x14ac:dyDescent="0.35">
      <c r="B23" s="16" t="s">
        <v>11</v>
      </c>
      <c r="C23" s="7"/>
      <c r="D23" s="49" t="s">
        <v>47</v>
      </c>
      <c r="E23" s="1" t="s">
        <v>8</v>
      </c>
      <c r="F23" s="1" t="s">
        <v>9</v>
      </c>
      <c r="K23" s="13" t="s">
        <v>17</v>
      </c>
      <c r="L23" s="58">
        <f>C15</f>
        <v>0</v>
      </c>
      <c r="M23" s="58">
        <v>0</v>
      </c>
      <c r="N23" s="14">
        <f>SUM(L23:M23)</f>
        <v>0</v>
      </c>
    </row>
    <row r="24" spans="2:14" ht="21" customHeight="1" thickBot="1" x14ac:dyDescent="0.35">
      <c r="B24" s="20" t="s">
        <v>6</v>
      </c>
      <c r="C24" s="8"/>
      <c r="D24" s="45" t="str">
        <f>IF(C23&lt;20500,"Must maximize Direct Unsub.", " ")</f>
        <v>Must maximize Direct Unsub.</v>
      </c>
      <c r="E24" s="3">
        <f>(C23*0.5)-(TRUNC((C23/2)*1.057%))</f>
        <v>0</v>
      </c>
      <c r="F24" s="3">
        <f>(C23*0.5)-(TRUNC((C23/2)*1.057%))</f>
        <v>0</v>
      </c>
      <c r="G24" s="3"/>
      <c r="H24" s="3"/>
      <c r="K24" s="13" t="str">
        <f>IF(B28&gt;0, "Housing Deposit", " ")</f>
        <v xml:space="preserve"> </v>
      </c>
      <c r="L24" s="58">
        <f>B28</f>
        <v>0</v>
      </c>
      <c r="M24" s="58"/>
      <c r="N24" s="14">
        <f>L24</f>
        <v>0</v>
      </c>
    </row>
    <row r="25" spans="2:14" ht="21" customHeight="1" thickBot="1" x14ac:dyDescent="0.35">
      <c r="B25" s="16" t="s">
        <v>7</v>
      </c>
      <c r="C25" s="7"/>
      <c r="D25" s="27"/>
      <c r="E25" s="3">
        <f>(C24*0.5)-(TRUNC((C24/2)*4.228%))</f>
        <v>0</v>
      </c>
      <c r="F25" s="3">
        <f>(C24*0.5)-(TRUNC((C24/2)*4.228%))</f>
        <v>0</v>
      </c>
      <c r="G25" s="3"/>
      <c r="H25" s="3"/>
      <c r="K25" s="17" t="s">
        <v>12</v>
      </c>
      <c r="L25" s="18">
        <f>SUM(L19:L24)</f>
        <v>0</v>
      </c>
      <c r="M25" s="18">
        <f>SUM(M19:M23)</f>
        <v>0</v>
      </c>
      <c r="N25" s="19">
        <f>SUM(N19:N23)</f>
        <v>0</v>
      </c>
    </row>
    <row r="26" spans="2:14" ht="21" customHeight="1" thickBot="1" x14ac:dyDescent="0.35">
      <c r="E26" s="3">
        <f>C25*0.5</f>
        <v>0</v>
      </c>
      <c r="F26" s="3">
        <f>C25*0.5</f>
        <v>0</v>
      </c>
      <c r="G26" s="3"/>
      <c r="H26" s="3"/>
      <c r="K26" s="37" t="s">
        <v>13</v>
      </c>
      <c r="L26" s="38" t="e">
        <f>L18-L25</f>
        <v>#N/A</v>
      </c>
      <c r="M26" s="38" t="e">
        <f>M18-M25</f>
        <v>#N/A</v>
      </c>
      <c r="N26" s="39" t="e">
        <f>N18-N25</f>
        <v>#N/A</v>
      </c>
    </row>
    <row r="27" spans="2:14" ht="21" customHeight="1" thickBot="1" x14ac:dyDescent="0.35">
      <c r="B27" s="26" t="s">
        <v>54</v>
      </c>
      <c r="K27" s="47" t="e">
        <f>IF(N26&lt;-35814, "Your total aid may exceed the COA. Please confirm your planned borrowing with financial aid.", " ")</f>
        <v>#N/A</v>
      </c>
    </row>
    <row r="28" spans="2:14" ht="21" customHeight="1" thickBot="1" x14ac:dyDescent="0.35">
      <c r="B28" s="7">
        <v>0</v>
      </c>
      <c r="C28" s="21" t="s">
        <v>53</v>
      </c>
      <c r="K28" s="46" t="e">
        <f>IF(L26&lt;0, "FALL: A negative remaining amount due indicates an anticipated REFUND amount for the semester.", " ")</f>
        <v>#N/A</v>
      </c>
      <c r="L28" s="46"/>
      <c r="M28" s="46"/>
      <c r="N28" s="46"/>
    </row>
    <row r="29" spans="2:14" ht="21" customHeight="1" thickBot="1" x14ac:dyDescent="0.35">
      <c r="B29" s="4" t="s">
        <v>55</v>
      </c>
      <c r="K29" s="46" t="e">
        <f>IF(M26&lt;0, "SPRING: A negative remaining amount due indicates an anticipated REFUND amount for the semester.", " ")</f>
        <v>#N/A</v>
      </c>
    </row>
    <row r="30" spans="2:14" ht="21" customHeight="1" thickBot="1" x14ac:dyDescent="0.35">
      <c r="B30" s="7">
        <v>0</v>
      </c>
      <c r="C30" s="21" t="s">
        <v>57</v>
      </c>
      <c r="D30" s="21"/>
      <c r="K30" s="69" t="s">
        <v>60</v>
      </c>
      <c r="L30" s="69"/>
      <c r="M30" s="69"/>
      <c r="N30" s="69"/>
    </row>
    <row r="31" spans="2:14" ht="21" customHeight="1" thickBot="1" x14ac:dyDescent="0.35">
      <c r="B31" s="7">
        <v>0</v>
      </c>
      <c r="C31" s="21" t="s">
        <v>56</v>
      </c>
      <c r="D31" s="21"/>
      <c r="K31" s="69"/>
      <c r="L31" s="69"/>
      <c r="M31" s="69"/>
      <c r="N31" s="69"/>
    </row>
    <row r="32" spans="2:14" ht="21" customHeight="1" thickBot="1" x14ac:dyDescent="0.35">
      <c r="B32" s="22" t="s">
        <v>58</v>
      </c>
      <c r="C32" s="9">
        <f>((B30-B28)+B31)</f>
        <v>0</v>
      </c>
      <c r="D32" s="31"/>
      <c r="K32" s="52" t="s">
        <v>50</v>
      </c>
      <c r="L32" s="56" t="e">
        <f>N18+31103</f>
        <v>#N/A</v>
      </c>
      <c r="M32" s="2"/>
    </row>
    <row r="33" spans="2:14" ht="21" customHeight="1" thickBot="1" x14ac:dyDescent="0.35">
      <c r="K33" s="52" t="s">
        <v>51</v>
      </c>
      <c r="L33" s="55">
        <f>C16+C19+D19+C20+D20+C23+C24+C25</f>
        <v>0</v>
      </c>
      <c r="M33" s="2"/>
    </row>
    <row r="34" spans="2:14" ht="21" customHeight="1" thickBot="1" x14ac:dyDescent="0.35">
      <c r="B34" s="67" t="s">
        <v>65</v>
      </c>
      <c r="C34" s="68"/>
      <c r="D34" s="68"/>
      <c r="E34" s="68"/>
      <c r="F34" s="68"/>
      <c r="G34" s="68"/>
      <c r="H34" s="68"/>
      <c r="I34" s="68"/>
      <c r="J34" s="68"/>
      <c r="K34" s="53" t="s">
        <v>52</v>
      </c>
      <c r="L34" s="54" t="e">
        <f>L32-L33</f>
        <v>#N/A</v>
      </c>
      <c r="M34" s="70" t="e">
        <f>IF(L34&lt;0, "You have exceeded the COA, you must reduce your financial aid.", " ")</f>
        <v>#N/A</v>
      </c>
      <c r="N34" s="71"/>
    </row>
    <row r="35" spans="2:14" ht="21" customHeight="1" x14ac:dyDescent="0.3">
      <c r="B35" s="51" t="s">
        <v>69</v>
      </c>
      <c r="M35" s="71"/>
      <c r="N35" s="71"/>
    </row>
    <row r="36" spans="2:14" ht="21" customHeight="1" x14ac:dyDescent="0.3">
      <c r="B36" s="51" t="s">
        <v>70</v>
      </c>
    </row>
  </sheetData>
  <mergeCells count="4">
    <mergeCell ref="B12:J12"/>
    <mergeCell ref="B34:J34"/>
    <mergeCell ref="K30:N31"/>
    <mergeCell ref="M34:N35"/>
  </mergeCells>
  <dataValidations count="5">
    <dataValidation type="list" allowBlank="1" showInputMessage="1" showErrorMessage="1" sqref="B13 B10">
      <formula1>"Yes, No"</formula1>
    </dataValidation>
    <dataValidation type="whole" allowBlank="1" showInputMessage="1" showErrorMessage="1" errorTitle="Error" error="The Direct Unsubsidized loan must be between $500 and $20,500." sqref="C23">
      <formula1>500</formula1>
      <formula2>20500</formula2>
    </dataValidation>
    <dataValidation type="whole" allowBlank="1" showInputMessage="1" showErrorMessage="1" errorTitle="Error" error="Please enter a whole number." sqref="C15">
      <formula1>0</formula1>
      <formula2>10000</formula2>
    </dataValidation>
    <dataValidation type="whole" allowBlank="1" showInputMessage="1" showErrorMessage="1" errorTitle="Error" error="Enter the amount in whole numbers. Confirm award amount is correct." sqref="C16">
      <formula1>0</formula1>
      <formula2>100000</formula2>
    </dataValidation>
    <dataValidation type="whole" allowBlank="1" showInputMessage="1" showErrorMessage="1" sqref="B28">
      <formula1>0</formula1>
      <formula2>10000</formula2>
    </dataValidation>
  </dataValidations>
  <hyperlinks>
    <hyperlink ref="M8" r:id="rId1"/>
    <hyperlink ref="C13" r:id="rId2" display="https://www.health.columbia.edu/content/request-waiver"/>
    <hyperlink ref="B34" r:id="rId3" display="*Based on Student only enrollment; refer to Columbia Health site for dependent costs"/>
    <hyperlink ref="B12:J12" r:id="rId4" display="Please review the enrollment requirements on the Columbia Health site. Based on your enrollment category, you may need to actively opt-in or opt-out of health insurance."/>
  </hyperlinks>
  <pageMargins left="0.7" right="0.7" top="0.75" bottom="0.75" header="0.3" footer="0.3"/>
  <pageSetup paperSize="0" orientation="portrait" horizontalDpi="0" verticalDpi="0" copies="0"/>
  <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inputs!$A$4:$A$8</xm:f>
          </x14:formula1>
          <xm:sqref>B4</xm:sqref>
        </x14:dataValidation>
        <x14:dataValidation type="list" allowBlank="1" showInputMessage="1" showErrorMessage="1">
          <x14:formula1>
            <xm:f>inputs!$B$3:$E$3</xm:f>
          </x14:formula1>
          <xm:sqref>B6 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0"/>
  <sheetViews>
    <sheetView workbookViewId="0">
      <selection activeCell="C14" sqref="C14"/>
    </sheetView>
  </sheetViews>
  <sheetFormatPr defaultRowHeight="14.4" x14ac:dyDescent="0.3"/>
  <cols>
    <col min="1" max="1" width="28.88671875" customWidth="1"/>
    <col min="2" max="2" width="20.33203125" customWidth="1"/>
    <col min="3" max="3" width="16.33203125" customWidth="1"/>
    <col min="4" max="4" width="19.5546875" customWidth="1"/>
    <col min="5" max="5" width="21.109375" customWidth="1"/>
  </cols>
  <sheetData>
    <row r="3" spans="1:5" x14ac:dyDescent="0.3">
      <c r="A3" t="s">
        <v>31</v>
      </c>
      <c r="B3" t="s">
        <v>32</v>
      </c>
      <c r="C3" s="29" t="s">
        <v>33</v>
      </c>
      <c r="D3" t="s">
        <v>34</v>
      </c>
      <c r="E3" t="s">
        <v>35</v>
      </c>
    </row>
    <row r="4" spans="1:5" x14ac:dyDescent="0.3">
      <c r="A4" t="s">
        <v>26</v>
      </c>
      <c r="B4" s="30">
        <v>40386</v>
      </c>
      <c r="C4" s="30">
        <v>21886</v>
      </c>
      <c r="D4" s="30">
        <v>12654</v>
      </c>
      <c r="E4" s="30">
        <v>15364</v>
      </c>
    </row>
    <row r="5" spans="1:5" x14ac:dyDescent="0.3">
      <c r="A5" t="s">
        <v>28</v>
      </c>
      <c r="B5" s="30">
        <v>43620</v>
      </c>
      <c r="C5" s="30">
        <v>23642</v>
      </c>
      <c r="D5" s="30">
        <v>13670</v>
      </c>
      <c r="E5" s="30">
        <v>16590</v>
      </c>
    </row>
    <row r="6" spans="1:5" x14ac:dyDescent="0.3">
      <c r="A6" t="s">
        <v>30</v>
      </c>
      <c r="B6" s="30">
        <v>45378</v>
      </c>
      <c r="C6" s="30">
        <v>24594</v>
      </c>
      <c r="D6" s="30">
        <v>14222</v>
      </c>
      <c r="E6" s="30">
        <v>17262</v>
      </c>
    </row>
    <row r="7" spans="1:5" x14ac:dyDescent="0.3">
      <c r="A7" t="s">
        <v>27</v>
      </c>
      <c r="B7" s="30">
        <v>41130</v>
      </c>
      <c r="C7" s="30">
        <v>22290</v>
      </c>
      <c r="D7" s="30">
        <v>12884</v>
      </c>
      <c r="E7" s="30">
        <v>15646</v>
      </c>
    </row>
    <row r="8" spans="1:5" x14ac:dyDescent="0.3">
      <c r="A8" t="s">
        <v>29</v>
      </c>
      <c r="B8" s="30">
        <v>35314</v>
      </c>
      <c r="C8" s="30">
        <v>19140</v>
      </c>
      <c r="D8" s="30">
        <v>11064</v>
      </c>
      <c r="E8" s="30">
        <v>13442</v>
      </c>
    </row>
    <row r="9" spans="1:5" x14ac:dyDescent="0.3">
      <c r="B9" s="30"/>
      <c r="C9" s="30"/>
      <c r="D9" s="30"/>
      <c r="E9" s="30"/>
    </row>
    <row r="10" spans="1:5" x14ac:dyDescent="0.3">
      <c r="A10" t="s">
        <v>40</v>
      </c>
      <c r="B10" s="30"/>
      <c r="C10" s="30"/>
      <c r="D10" s="30"/>
      <c r="E10" s="30"/>
    </row>
    <row r="11" spans="1:5" x14ac:dyDescent="0.3">
      <c r="A11" s="32" t="s">
        <v>32</v>
      </c>
      <c r="B11" s="30">
        <v>694</v>
      </c>
      <c r="C11" s="30"/>
      <c r="D11" s="30"/>
      <c r="E11" s="30"/>
    </row>
    <row r="12" spans="1:5" x14ac:dyDescent="0.3">
      <c r="A12" s="33" t="s">
        <v>33</v>
      </c>
      <c r="B12" s="30">
        <v>347</v>
      </c>
      <c r="C12" s="30"/>
      <c r="D12" s="30"/>
      <c r="E12" s="30"/>
    </row>
    <row r="13" spans="1:5" x14ac:dyDescent="0.3">
      <c r="A13" s="34" t="s">
        <v>34</v>
      </c>
      <c r="B13" s="30">
        <v>208</v>
      </c>
      <c r="C13" s="30"/>
      <c r="D13" s="30"/>
      <c r="E13" s="30"/>
    </row>
    <row r="14" spans="1:5" x14ac:dyDescent="0.3">
      <c r="A14" s="35" t="s">
        <v>35</v>
      </c>
      <c r="B14" s="30">
        <v>694</v>
      </c>
      <c r="C14" s="30"/>
      <c r="D14" s="30"/>
      <c r="E14" s="30"/>
    </row>
    <row r="16" spans="1:5" x14ac:dyDescent="0.3">
      <c r="A16" t="s">
        <v>43</v>
      </c>
    </row>
    <row r="17" spans="1:2" x14ac:dyDescent="0.3">
      <c r="A17" s="32" t="s">
        <v>32</v>
      </c>
      <c r="B17">
        <v>657</v>
      </c>
    </row>
    <row r="18" spans="1:2" x14ac:dyDescent="0.3">
      <c r="A18" s="33" t="s">
        <v>33</v>
      </c>
      <c r="B18">
        <v>511</v>
      </c>
    </row>
    <row r="19" spans="1:2" x14ac:dyDescent="0.3">
      <c r="A19" s="34" t="s">
        <v>34</v>
      </c>
      <c r="B19">
        <v>511</v>
      </c>
    </row>
    <row r="20" spans="1:2" x14ac:dyDescent="0.3">
      <c r="A20" s="35" t="s">
        <v>35</v>
      </c>
      <c r="B20">
        <v>657</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 Billing Estimator</vt:lpstr>
      <vt:lpstr>inputs</vt:lpstr>
    </vt:vector>
  </TitlesOfParts>
  <Company>Columbia Business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Cardona,  Valerie</dc:creator>
  <cp:lastModifiedBy>Kate A Jenkins</cp:lastModifiedBy>
  <dcterms:created xsi:type="dcterms:W3CDTF">2019-01-16T16:44:29Z</dcterms:created>
  <dcterms:modified xsi:type="dcterms:W3CDTF">2024-06-14T18:27:17Z</dcterms:modified>
</cp:coreProperties>
</file>