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GS Arts &amp; Sciences\Server\FINAID\FINAID25\MA\Calculators\"/>
    </mc:Choice>
  </mc:AlternateContent>
  <workbookProtection lockStructure="1"/>
  <bookViews>
    <workbookView xWindow="0" yWindow="0" windowWidth="3648" windowHeight="11112"/>
  </bookViews>
  <sheets>
    <sheet name="MA Billing Estimator" sheetId="1" r:id="rId1"/>
    <sheet name="inputs"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3" i="1" l="1"/>
  <c r="F19" i="1" l="1"/>
  <c r="G34" i="1" l="1"/>
  <c r="H34" i="1"/>
  <c r="O18" i="1"/>
  <c r="N18" i="1"/>
  <c r="H30" i="1"/>
  <c r="O17" i="1" s="1"/>
  <c r="G30" i="1"/>
  <c r="N17" i="1" s="1"/>
  <c r="P29" i="1"/>
  <c r="P28" i="1"/>
  <c r="P27" i="1"/>
  <c r="Q28" i="1" s="1"/>
  <c r="H26" i="1"/>
  <c r="G26" i="1"/>
  <c r="O10" i="1"/>
  <c r="N10" i="1"/>
  <c r="D12" i="1"/>
  <c r="G19" i="1"/>
  <c r="O11" i="1"/>
  <c r="N11" i="1"/>
  <c r="E8" i="1" l="1"/>
  <c r="E6" i="1"/>
  <c r="J7" i="1" l="1"/>
  <c r="J6" i="1"/>
  <c r="J4" i="1"/>
  <c r="H10" i="1" l="1"/>
  <c r="O9" i="1" s="1"/>
  <c r="G10" i="1"/>
  <c r="N9" i="1" s="1"/>
  <c r="H9" i="1"/>
  <c r="O12" i="1" s="1"/>
  <c r="G9" i="1"/>
  <c r="N12" i="1" s="1"/>
  <c r="P14" i="1"/>
  <c r="J5" i="1"/>
  <c r="F8" i="1" s="1"/>
  <c r="O8" i="1" s="1"/>
  <c r="F6" i="1" l="1"/>
  <c r="N8" i="1" s="1"/>
  <c r="O19" i="1" l="1"/>
  <c r="N19" i="1"/>
  <c r="N20" i="1"/>
  <c r="P19" i="1" l="1"/>
  <c r="P20" i="1" l="1"/>
  <c r="O16" i="1"/>
  <c r="N16" i="1"/>
  <c r="P11" i="1"/>
  <c r="P12" i="1"/>
  <c r="P10" i="1"/>
  <c r="P9" i="1"/>
  <c r="P8" i="1"/>
  <c r="N21" i="1" l="1"/>
  <c r="P17" i="1"/>
  <c r="P18" i="1"/>
  <c r="O15" i="1"/>
  <c r="F31" i="1" s="1"/>
  <c r="D31" i="1" s="1"/>
  <c r="O32" i="1" s="1"/>
  <c r="N15" i="1"/>
  <c r="F30" i="1" s="1"/>
  <c r="C31" i="1" s="1"/>
  <c r="O31" i="1" s="1"/>
  <c r="P16" i="1"/>
  <c r="E31" i="1" l="1"/>
  <c r="O21" i="1"/>
  <c r="O22" i="1" s="1"/>
  <c r="P15" i="1"/>
  <c r="P21" i="1"/>
  <c r="N22" i="1"/>
  <c r="M23" i="1" l="1"/>
  <c r="C38" i="1"/>
  <c r="M24" i="1"/>
  <c r="D38" i="1"/>
  <c r="P22" i="1"/>
  <c r="E38" i="1" l="1"/>
</calcChain>
</file>

<file path=xl/sharedStrings.xml><?xml version="1.0" encoding="utf-8"?>
<sst xmlns="http://schemas.openxmlformats.org/spreadsheetml/2006/main" count="106" uniqueCount="86">
  <si>
    <t>Are you an International Student?</t>
  </si>
  <si>
    <t> Fall</t>
  </si>
  <si>
    <t> Spring</t>
  </si>
  <si>
    <t> Total</t>
  </si>
  <si>
    <t>Will you enroll in the Columbia Medical Insurance Program?</t>
  </si>
  <si>
    <t>Net Loan Amount</t>
  </si>
  <si>
    <t>Private Education Loan</t>
  </si>
  <si>
    <t>Fall</t>
  </si>
  <si>
    <t>Spring</t>
  </si>
  <si>
    <t>Total Scholarship or Other Payments</t>
  </si>
  <si>
    <t xml:space="preserve">Federal Direct Unsubsidized </t>
  </si>
  <si>
    <t>Total Credits</t>
  </si>
  <si>
    <t>Remaining Amount Due</t>
  </si>
  <si>
    <t>Fall Amount</t>
  </si>
  <si>
    <t>Spring Amount</t>
  </si>
  <si>
    <t>University Services and Support Fee</t>
  </si>
  <si>
    <t>Tuition Deposit</t>
  </si>
  <si>
    <t>Columbia Fellowship</t>
  </si>
  <si>
    <t>Other (529 plan, savings)</t>
  </si>
  <si>
    <t xml:space="preserve">Outside Award </t>
  </si>
  <si>
    <t xml:space="preserve">Tuition </t>
  </si>
  <si>
    <t>ISSO Fee (International Students)</t>
  </si>
  <si>
    <t>Please select your program</t>
  </si>
  <si>
    <t>MA in Biotechnology</t>
  </si>
  <si>
    <t>MA in QMSS</t>
  </si>
  <si>
    <t>MA in Economics</t>
  </si>
  <si>
    <t>All Other Master's Programs</t>
  </si>
  <si>
    <t>Program</t>
  </si>
  <si>
    <t>Full Residence Unit</t>
  </si>
  <si>
    <t>Half Residence</t>
  </si>
  <si>
    <t>Quarter Residence</t>
  </si>
  <si>
    <t>Extended Residence</t>
  </si>
  <si>
    <t>Fall tuition</t>
  </si>
  <si>
    <t>Spring tuition</t>
  </si>
  <si>
    <t>Health Services Fee (mandatory)</t>
  </si>
  <si>
    <t>Document Fee (one-time)</t>
  </si>
  <si>
    <t>Health Svcs fee</t>
  </si>
  <si>
    <t>HSF</t>
  </si>
  <si>
    <t>UniFee</t>
  </si>
  <si>
    <t>Univ Svcs fee</t>
  </si>
  <si>
    <t>Total Estimated Charges</t>
  </si>
  <si>
    <t>Enter Any Expected Payments (amounts entered as whole dollars)</t>
  </si>
  <si>
    <t xml:space="preserve"> Max $20,500</t>
  </si>
  <si>
    <t>Click here for SFS billing schedule</t>
  </si>
  <si>
    <t>Columbia Medical Insurance*</t>
  </si>
  <si>
    <t>Federal Direct Unsubsidized Loan (net)**</t>
  </si>
  <si>
    <t>Federal Graduate PLUS Loan (net)***</t>
  </si>
  <si>
    <t>Please review the enrollment requirements on the Columbia Health site. Based on your enrollment category, you may need to actively opt-in or opt-out of health insurance.</t>
  </si>
  <si>
    <t>*Based on Student only; see Columbia Health site for dependent costs and optional coverage</t>
  </si>
  <si>
    <t>Determine Your Charges</t>
  </si>
  <si>
    <t xml:space="preserve">Please fill in all the relevant fields to the left to determine your estimated direct expenses. </t>
  </si>
  <si>
    <t>Determine Your Credits</t>
  </si>
  <si>
    <t>Click in each blue cell to select or enter your response</t>
  </si>
  <si>
    <t>Determine your borrowing needs using the below options</t>
  </si>
  <si>
    <t>Indicate your planned enrollment category for Fall 2025</t>
  </si>
  <si>
    <t>Indicate your planned enrollment category for Spring 2026</t>
  </si>
  <si>
    <t>Borrowing Chart</t>
  </si>
  <si>
    <t>Federal Graduate PLUS</t>
  </si>
  <si>
    <t>Loan Type</t>
  </si>
  <si>
    <t>Fall 2025</t>
  </si>
  <si>
    <t>Spring 2026</t>
  </si>
  <si>
    <t>Academic Year Total</t>
  </si>
  <si>
    <t>Totals</t>
  </si>
  <si>
    <t>**Current Direct Unsubsidized loan fee is 1.057%, subject to change for loans first disbursed after October 1, 2025</t>
  </si>
  <si>
    <t>***Current Direct Graduate PLUS loan fee is 4.228%, subject to change for loans first disbursed after October 1, 2025</t>
  </si>
  <si>
    <t>Estimated 2025-2026 Charges</t>
  </si>
  <si>
    <t>Direct Graduate PLUS</t>
  </si>
  <si>
    <t>Direct Unsubsidized*</t>
  </si>
  <si>
    <t xml:space="preserve">   on your GSAS Loan Request Form.</t>
  </si>
  <si>
    <t xml:space="preserve">  to populate the Graduate PLUS amounts below. These are the amounts you will enter</t>
  </si>
  <si>
    <r>
      <t xml:space="preserve">Option 1: I want to borrow FEDERAL loans to cover </t>
    </r>
    <r>
      <rPr>
        <b/>
        <u/>
        <sz val="12"/>
        <color rgb="FF000000"/>
        <rFont val="Calibri"/>
        <family val="2"/>
        <scheme val="minor"/>
      </rPr>
      <t>only</t>
    </r>
    <r>
      <rPr>
        <b/>
        <sz val="12"/>
        <color rgb="FF000000"/>
        <rFont val="Calibri"/>
        <family val="2"/>
        <scheme val="minor"/>
      </rPr>
      <t xml:space="preserve"> my estimated directly billed expenses.</t>
    </r>
  </si>
  <si>
    <t>Option 2: I want to borrow PRIVATE loans to cover only my estimated directly billed expenses.</t>
  </si>
  <si>
    <t xml:space="preserve">  Enter the below amounts into the Borrowing Chart for the private loan.</t>
  </si>
  <si>
    <t>Private Loan</t>
  </si>
  <si>
    <t>*Apply directly to the lender of your choice. Once lender approved, complete the GSAS Loan Request Form.</t>
  </si>
  <si>
    <t>Private Loan*</t>
  </si>
  <si>
    <t xml:space="preserve">     *If you are enrolling in both fall and spring, the Unsubsidized loan must be split evenly across both terms. </t>
  </si>
  <si>
    <t xml:space="preserve">       Email gsas-finaid@columbia.edu if you will enroll or borrow in only one semester to understand your eligibility options.</t>
  </si>
  <si>
    <t xml:space="preserve">  Enter the below Federal Direct Unsubsidized amounts into the Borrowing Chart</t>
  </si>
  <si>
    <t xml:space="preserve">The actual Fall E-Bill is emailed in August and due in September.  </t>
  </si>
  <si>
    <t>This is a planning tool and subject to change. Final tuition and fees determined no earlier than June.</t>
  </si>
  <si>
    <t>Student Activities Fee</t>
  </si>
  <si>
    <t>Fall Max GradPLUS</t>
  </si>
  <si>
    <t>Spring Max GradPLUS</t>
  </si>
  <si>
    <t>Please note that total aid may not exceed the cost of attendance. Below are the estimated maximum amounts you may be eligible to borrow by semester. We encourage you to borrow only what you need.</t>
  </si>
  <si>
    <t>MA in Mathematics of Finance and Statistics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</si>
</sst>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quot;$&quot;* #,##0_);_(&quot;$&quot;* \(#,##0\);_(&quot;$&quot;* &quot;-&quot;_);_(@_)"/>
    <numFmt numFmtId="44" formatCode="_(&quot;$&quot;* #,##0.00_);_(&quot;$&quot;* \(#,##0.00\);_(&quot;$&quot;* &quot;-&quot;??_);_(@_)"/>
    <numFmt numFmtId="164" formatCode="_(&quot;$&quot;* #,##0_);_(&quot;$&quot;* \(#,##0\);_(&quot;$&quot;* &quot;-&quot;??_);_(@_)"/>
    <numFmt numFmtId="165" formatCode="_([$$-409]* #,##0_);_([$$-409]* \(#,##0\);_([$$-409]* &quot;-&quot;??_);_(@_)"/>
    <numFmt numFmtId="166" formatCode="&quot;$&quot;#,##0"/>
  </numFmts>
  <fonts count="31" x14ac:knownFonts="1">
    <font>
      <sz val="11"/>
      <color theme="1"/>
      <name val="Calibri"/>
      <family val="2"/>
      <scheme val="minor"/>
    </font>
    <font>
      <sz val="11"/>
      <color theme="1"/>
      <name val="Calibri"/>
      <family val="2"/>
      <scheme val="minor"/>
    </font>
    <font>
      <b/>
      <sz val="12"/>
      <color theme="1"/>
      <name val="Calibri"/>
      <family val="2"/>
      <scheme val="minor"/>
    </font>
    <font>
      <b/>
      <sz val="11"/>
      <color theme="0"/>
      <name val="Calibri"/>
      <family val="2"/>
      <scheme val="minor"/>
    </font>
    <font>
      <b/>
      <sz val="11"/>
      <color theme="1"/>
      <name val="Calibri"/>
      <family val="2"/>
      <scheme val="minor"/>
    </font>
    <font>
      <b/>
      <sz val="11"/>
      <color rgb="FF000000"/>
      <name val="Calibri"/>
      <family val="2"/>
      <scheme val="minor"/>
    </font>
    <font>
      <b/>
      <sz val="12"/>
      <color rgb="FF000000"/>
      <name val="Calibri"/>
      <family val="2"/>
      <scheme val="minor"/>
    </font>
    <font>
      <b/>
      <sz val="11"/>
      <name val="Calibri"/>
      <family val="2"/>
      <scheme val="minor"/>
    </font>
    <font>
      <sz val="11"/>
      <color rgb="FF464646"/>
      <name val="Calibri"/>
      <family val="2"/>
      <scheme val="minor"/>
    </font>
    <font>
      <b/>
      <sz val="11"/>
      <color rgb="FF464646"/>
      <name val="Calibri"/>
      <family val="2"/>
      <scheme val="minor"/>
    </font>
    <font>
      <i/>
      <sz val="11"/>
      <color theme="1"/>
      <name val="Calibri"/>
      <family val="2"/>
      <scheme val="minor"/>
    </font>
    <font>
      <b/>
      <i/>
      <sz val="11"/>
      <color theme="1"/>
      <name val="Calibri"/>
      <family val="2"/>
      <scheme val="minor"/>
    </font>
    <font>
      <sz val="11"/>
      <color rgb="FFFF0000"/>
      <name val="Calibri"/>
      <family val="2"/>
      <scheme val="minor"/>
    </font>
    <font>
      <b/>
      <sz val="10"/>
      <color rgb="FFFF0000"/>
      <name val="Calibri"/>
      <family val="2"/>
      <scheme val="minor"/>
    </font>
    <font>
      <u/>
      <sz val="11"/>
      <color theme="10"/>
      <name val="Calibri"/>
      <family val="2"/>
      <scheme val="minor"/>
    </font>
    <font>
      <sz val="9"/>
      <color theme="1"/>
      <name val="Calibri"/>
      <family val="2"/>
      <scheme val="minor"/>
    </font>
    <font>
      <b/>
      <i/>
      <u/>
      <sz val="11"/>
      <name val="Calibri"/>
      <family val="2"/>
      <scheme val="minor"/>
    </font>
    <font>
      <u/>
      <sz val="9"/>
      <color theme="10"/>
      <name val="Calibri"/>
      <family val="2"/>
      <scheme val="minor"/>
    </font>
    <font>
      <b/>
      <u/>
      <sz val="9"/>
      <color theme="10"/>
      <name val="Calibri"/>
      <family val="2"/>
      <scheme val="minor"/>
    </font>
    <font>
      <b/>
      <sz val="9"/>
      <color rgb="FFFF0000"/>
      <name val="Calibri"/>
      <family val="2"/>
      <scheme val="minor"/>
    </font>
    <font>
      <b/>
      <i/>
      <u/>
      <sz val="16"/>
      <color theme="1"/>
      <name val="Calibri"/>
      <family val="2"/>
      <scheme val="minor"/>
    </font>
    <font>
      <i/>
      <sz val="9"/>
      <color theme="1"/>
      <name val="Calibri"/>
      <family val="2"/>
      <scheme val="minor"/>
    </font>
    <font>
      <b/>
      <i/>
      <sz val="12"/>
      <color rgb="FF000000"/>
      <name val="Calibri"/>
      <family val="2"/>
      <scheme val="minor"/>
    </font>
    <font>
      <sz val="12"/>
      <color rgb="FF000000"/>
      <name val="Calibri"/>
      <family val="2"/>
      <scheme val="minor"/>
    </font>
    <font>
      <b/>
      <sz val="14"/>
      <color rgb="FF464646"/>
      <name val="Calibri"/>
      <family val="2"/>
      <scheme val="minor"/>
    </font>
    <font>
      <sz val="12"/>
      <color theme="1"/>
      <name val="Calibri"/>
      <family val="2"/>
      <scheme val="minor"/>
    </font>
    <font>
      <i/>
      <sz val="12"/>
      <color rgb="FF000000"/>
      <name val="Calibri"/>
      <family val="2"/>
      <scheme val="minor"/>
    </font>
    <font>
      <sz val="9"/>
      <color rgb="FF000000"/>
      <name val="Calibri"/>
      <family val="2"/>
      <scheme val="minor"/>
    </font>
    <font>
      <b/>
      <u/>
      <sz val="12"/>
      <color rgb="FF000000"/>
      <name val="Calibri"/>
      <family val="2"/>
      <scheme val="minor"/>
    </font>
    <font>
      <u/>
      <sz val="12"/>
      <color theme="1"/>
      <name val="Calibri"/>
      <family val="2"/>
      <scheme val="minor"/>
    </font>
    <font>
      <u/>
      <sz val="11"/>
      <color theme="1"/>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FF"/>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4"/>
        <bgColor theme="4"/>
      </patternFill>
    </fill>
    <fill>
      <patternFill patternType="solid">
        <fgColor rgb="FFFFFF0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5" tint="0.79998168889431442"/>
        <bgColor indexed="64"/>
      </patternFill>
    </fill>
  </fills>
  <borders count="26">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3">
    <xf numFmtId="0" fontId="0" fillId="0" borderId="0"/>
    <xf numFmtId="44" fontId="1" fillId="0" borderId="0" applyFont="0" applyFill="0" applyBorder="0" applyAlignment="0" applyProtection="0"/>
    <xf numFmtId="0" fontId="14" fillId="0" borderId="0" applyNumberFormat="0" applyFill="0" applyBorder="0" applyAlignment="0" applyProtection="0"/>
  </cellStyleXfs>
  <cellXfs count="117">
    <xf numFmtId="0" fontId="0" fillId="0" borderId="0" xfId="0"/>
    <xf numFmtId="0" fontId="0" fillId="0" borderId="0" xfId="0" applyFont="1"/>
    <xf numFmtId="0" fontId="0" fillId="0" borderId="0" xfId="0" applyFont="1" applyBorder="1"/>
    <xf numFmtId="1" fontId="0" fillId="0" borderId="0" xfId="0" applyNumberFormat="1" applyFont="1"/>
    <xf numFmtId="44" fontId="7" fillId="5" borderId="4" xfId="1" applyFont="1" applyFill="1" applyBorder="1" applyAlignment="1" applyProtection="1">
      <alignment horizontal="left" vertical="center"/>
      <protection locked="0"/>
    </xf>
    <xf numFmtId="0" fontId="7" fillId="5" borderId="4" xfId="0" applyFont="1" applyFill="1" applyBorder="1" applyAlignment="1" applyProtection="1">
      <alignment horizontal="left" vertical="center"/>
      <protection locked="0"/>
    </xf>
    <xf numFmtId="164" fontId="7" fillId="5" borderId="4" xfId="1" applyNumberFormat="1" applyFont="1" applyFill="1" applyBorder="1" applyAlignment="1" applyProtection="1">
      <alignment horizontal="left" vertical="center"/>
      <protection locked="0"/>
    </xf>
    <xf numFmtId="0" fontId="5" fillId="2" borderId="1" xfId="0" applyFont="1" applyFill="1" applyBorder="1" applyAlignment="1" applyProtection="1">
      <alignment horizontal="left" vertical="center"/>
    </xf>
    <xf numFmtId="0" fontId="5" fillId="2" borderId="2"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8" fillId="3" borderId="5" xfId="0" applyFont="1" applyFill="1" applyBorder="1" applyAlignment="1" applyProtection="1">
      <alignment vertical="center"/>
    </xf>
    <xf numFmtId="44" fontId="9" fillId="3" borderId="6" xfId="1" applyNumberFormat="1" applyFont="1" applyFill="1" applyBorder="1" applyAlignment="1" applyProtection="1">
      <alignment horizontal="center" vertical="center"/>
    </xf>
    <xf numFmtId="44" fontId="9" fillId="3" borderId="6" xfId="1" applyFont="1" applyFill="1" applyBorder="1" applyAlignment="1" applyProtection="1">
      <alignment horizontal="center" vertical="center"/>
    </xf>
    <xf numFmtId="0" fontId="0" fillId="0" borderId="0" xfId="0" applyFont="1" applyAlignment="1">
      <alignment wrapText="1"/>
    </xf>
    <xf numFmtId="0" fontId="9" fillId="4" borderId="7" xfId="0" applyFont="1" applyFill="1" applyBorder="1" applyAlignment="1" applyProtection="1">
      <alignment vertical="center"/>
    </xf>
    <xf numFmtId="44" fontId="9" fillId="4" borderId="8" xfId="1" applyNumberFormat="1" applyFont="1" applyFill="1" applyBorder="1" applyAlignment="1" applyProtection="1">
      <alignment horizontal="center" vertical="center"/>
    </xf>
    <xf numFmtId="44" fontId="9" fillId="4" borderId="9" xfId="1" applyNumberFormat="1"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164" fontId="0" fillId="0" borderId="0" xfId="0" applyNumberFormat="1" applyFont="1"/>
    <xf numFmtId="0" fontId="0" fillId="5" borderId="4" xfId="0" applyFont="1" applyFill="1" applyBorder="1"/>
    <xf numFmtId="0" fontId="2" fillId="0" borderId="0" xfId="0" applyFont="1"/>
    <xf numFmtId="164" fontId="7" fillId="0" borderId="0" xfId="1" applyNumberFormat="1" applyFont="1" applyFill="1" applyBorder="1" applyAlignment="1" applyProtection="1">
      <alignment horizontal="left" vertical="center"/>
      <protection locked="0"/>
    </xf>
    <xf numFmtId="164" fontId="7" fillId="5" borderId="13" xfId="1" applyNumberFormat="1" applyFont="1" applyFill="1" applyBorder="1" applyAlignment="1" applyProtection="1">
      <alignment horizontal="left" vertical="center"/>
      <protection locked="0"/>
    </xf>
    <xf numFmtId="16" fontId="0" fillId="0" borderId="0" xfId="0" applyNumberFormat="1"/>
    <xf numFmtId="165" fontId="0" fillId="0" borderId="0" xfId="0" applyNumberFormat="1"/>
    <xf numFmtId="0" fontId="3" fillId="6" borderId="14" xfId="0" applyFont="1" applyFill="1" applyBorder="1"/>
    <xf numFmtId="16" fontId="3" fillId="6" borderId="15" xfId="0" applyNumberFormat="1" applyFont="1" applyFill="1" applyBorder="1"/>
    <xf numFmtId="0" fontId="3" fillId="6" borderId="15" xfId="0" applyFont="1" applyFill="1" applyBorder="1"/>
    <xf numFmtId="0" fontId="3" fillId="6" borderId="16" xfId="0" applyFont="1" applyFill="1" applyBorder="1"/>
    <xf numFmtId="16" fontId="0" fillId="0" borderId="0" xfId="0" applyNumberFormat="1" applyFont="1"/>
    <xf numFmtId="44" fontId="1" fillId="0" borderId="0" xfId="1" applyNumberFormat="1" applyFont="1" applyFill="1" applyBorder="1" applyAlignment="1">
      <alignment horizontal="center" vertical="center"/>
    </xf>
    <xf numFmtId="44" fontId="8" fillId="0" borderId="0" xfId="1" applyNumberFormat="1" applyFont="1" applyFill="1" applyBorder="1" applyAlignment="1" applyProtection="1">
      <alignment horizontal="center" vertical="center"/>
    </xf>
    <xf numFmtId="44" fontId="8" fillId="0" borderId="0" xfId="1" quotePrefix="1" applyNumberFormat="1" applyFont="1" applyFill="1" applyBorder="1" applyAlignment="1" applyProtection="1">
      <alignment horizontal="center" vertical="center"/>
    </xf>
    <xf numFmtId="0" fontId="0" fillId="7" borderId="0" xfId="0" applyFont="1" applyFill="1"/>
    <xf numFmtId="0" fontId="12" fillId="0" borderId="0" xfId="0" applyFont="1"/>
    <xf numFmtId="0" fontId="13" fillId="0" borderId="0" xfId="0" applyFont="1" applyAlignment="1">
      <alignment horizontal="right"/>
    </xf>
    <xf numFmtId="0" fontId="0" fillId="0" borderId="0" xfId="0" applyAlignment="1">
      <alignment wrapText="1"/>
    </xf>
    <xf numFmtId="0" fontId="16" fillId="0" borderId="0" xfId="0" applyFont="1"/>
    <xf numFmtId="0" fontId="0" fillId="0" borderId="0" xfId="0" applyAlignment="1">
      <alignment horizontal="left" wrapText="1"/>
    </xf>
    <xf numFmtId="0" fontId="0" fillId="0" borderId="6" xfId="0" applyBorder="1" applyAlignment="1">
      <alignment wrapText="1"/>
    </xf>
    <xf numFmtId="0" fontId="6" fillId="0" borderId="0" xfId="0" applyFont="1" applyFill="1" applyBorder="1" applyAlignment="1" applyProtection="1">
      <alignment horizontal="left"/>
    </xf>
    <xf numFmtId="44" fontId="0" fillId="0" borderId="0" xfId="0" applyNumberFormat="1" applyFont="1"/>
    <xf numFmtId="0" fontId="18" fillId="0" borderId="0" xfId="2" applyFont="1" applyAlignment="1">
      <alignment horizontal="left" wrapText="1"/>
    </xf>
    <xf numFmtId="0" fontId="18" fillId="0" borderId="0" xfId="2" applyFont="1" applyAlignment="1">
      <alignment wrapText="1"/>
    </xf>
    <xf numFmtId="0" fontId="0" fillId="0" borderId="0" xfId="0" applyFont="1" applyAlignment="1">
      <alignment wrapText="1"/>
    </xf>
    <xf numFmtId="0" fontId="0" fillId="0" borderId="0" xfId="0" applyAlignment="1">
      <alignment wrapText="1"/>
    </xf>
    <xf numFmtId="0" fontId="18" fillId="0" borderId="0" xfId="2" applyFont="1" applyBorder="1" applyAlignment="1">
      <alignment horizontal="left" wrapText="1"/>
    </xf>
    <xf numFmtId="0" fontId="18" fillId="0" borderId="0" xfId="2" applyFont="1" applyAlignment="1">
      <alignment horizontal="left" vertical="center" wrapText="1"/>
    </xf>
    <xf numFmtId="0" fontId="21" fillId="0" borderId="0" xfId="0" applyFont="1" applyAlignment="1">
      <alignment horizontal="left"/>
    </xf>
    <xf numFmtId="0" fontId="5" fillId="0" borderId="0" xfId="0" applyFont="1" applyFill="1" applyBorder="1" applyAlignment="1" applyProtection="1">
      <alignment horizontal="center" vertical="center"/>
    </xf>
    <xf numFmtId="0" fontId="11" fillId="0" borderId="0" xfId="0" applyFont="1" applyAlignment="1">
      <alignment vertical="center"/>
    </xf>
    <xf numFmtId="0" fontId="11" fillId="7" borderId="0" xfId="0" applyFont="1" applyFill="1" applyAlignment="1">
      <alignment vertical="center"/>
    </xf>
    <xf numFmtId="164" fontId="19" fillId="0" borderId="0" xfId="1" applyNumberFormat="1" applyFont="1" applyFill="1" applyBorder="1" applyAlignment="1" applyProtection="1">
      <alignment horizontal="left"/>
    </xf>
    <xf numFmtId="44" fontId="9" fillId="0" borderId="0" xfId="1" applyNumberFormat="1" applyFont="1" applyFill="1" applyBorder="1" applyAlignment="1" applyProtection="1">
      <alignment horizontal="center" vertical="center"/>
    </xf>
    <xf numFmtId="0" fontId="6" fillId="0" borderId="17" xfId="0" applyFont="1" applyFill="1" applyBorder="1" applyAlignment="1" applyProtection="1">
      <alignment horizontal="left" vertical="center"/>
    </xf>
    <xf numFmtId="0" fontId="0" fillId="0" borderId="19" xfId="0" applyFont="1" applyBorder="1"/>
    <xf numFmtId="0" fontId="0" fillId="0" borderId="20" xfId="0" applyFont="1" applyBorder="1"/>
    <xf numFmtId="0" fontId="23" fillId="0" borderId="5" xfId="0" applyFont="1" applyFill="1" applyBorder="1" applyAlignment="1" applyProtection="1">
      <alignment horizontal="left" vertical="center"/>
    </xf>
    <xf numFmtId="1" fontId="0" fillId="0" borderId="0" xfId="0" applyNumberFormat="1" applyFont="1" applyBorder="1"/>
    <xf numFmtId="0" fontId="0" fillId="0" borderId="6" xfId="0" applyFont="1" applyBorder="1"/>
    <xf numFmtId="0" fontId="0" fillId="0" borderId="11" xfId="0" applyFont="1" applyBorder="1"/>
    <xf numFmtId="44" fontId="0" fillId="0" borderId="11" xfId="0" applyNumberFormat="1" applyFont="1" applyBorder="1"/>
    <xf numFmtId="1" fontId="0" fillId="0" borderId="11" xfId="0" applyNumberFormat="1" applyFont="1" applyBorder="1"/>
    <xf numFmtId="0" fontId="0" fillId="0" borderId="12" xfId="0" applyFont="1" applyBorder="1"/>
    <xf numFmtId="44" fontId="0" fillId="0" borderId="0" xfId="0" applyNumberFormat="1" applyFont="1" applyBorder="1"/>
    <xf numFmtId="0" fontId="25" fillId="0" borderId="4" xfId="0" applyFont="1" applyBorder="1" applyAlignment="1">
      <alignment horizontal="center" wrapText="1"/>
    </xf>
    <xf numFmtId="0" fontId="25" fillId="0" borderId="4" xfId="0" applyFont="1" applyBorder="1" applyAlignment="1">
      <alignment horizontal="center"/>
    </xf>
    <xf numFmtId="42" fontId="8" fillId="0" borderId="0" xfId="1" applyNumberFormat="1" applyFont="1" applyFill="1" applyBorder="1" applyAlignment="1" applyProtection="1">
      <alignment horizontal="center" vertical="center"/>
    </xf>
    <xf numFmtId="42" fontId="9" fillId="3" borderId="6" xfId="1" applyNumberFormat="1" applyFont="1" applyFill="1" applyBorder="1" applyAlignment="1" applyProtection="1">
      <alignment horizontal="center" vertical="center"/>
    </xf>
    <xf numFmtId="42" fontId="1" fillId="0" borderId="0" xfId="1" applyNumberFormat="1" applyFont="1" applyFill="1" applyBorder="1"/>
    <xf numFmtId="0" fontId="4" fillId="0" borderId="4" xfId="0" applyFont="1" applyBorder="1" applyAlignment="1">
      <alignment horizontal="center"/>
    </xf>
    <xf numFmtId="0" fontId="4" fillId="0" borderId="4" xfId="0" applyFont="1" applyFill="1" applyBorder="1"/>
    <xf numFmtId="42" fontId="0" fillId="0" borderId="4" xfId="0" applyNumberFormat="1" applyFont="1" applyBorder="1" applyAlignment="1">
      <alignment horizontal="center" vertical="center"/>
    </xf>
    <xf numFmtId="42" fontId="4" fillId="8" borderId="4" xfId="0" applyNumberFormat="1" applyFont="1" applyFill="1" applyBorder="1" applyAlignment="1">
      <alignment horizontal="center" vertical="center"/>
    </xf>
    <xf numFmtId="42" fontId="7" fillId="8" borderId="4" xfId="1" applyNumberFormat="1" applyFont="1" applyFill="1" applyBorder="1" applyAlignment="1" applyProtection="1">
      <alignment horizontal="center" vertical="center"/>
      <protection locked="0"/>
    </xf>
    <xf numFmtId="0" fontId="4" fillId="0" borderId="0" xfId="0" applyFont="1" applyAlignment="1">
      <alignment horizontal="right" wrapText="1"/>
    </xf>
    <xf numFmtId="0" fontId="26" fillId="0" borderId="5" xfId="0" applyFont="1" applyFill="1" applyBorder="1" applyAlignment="1" applyProtection="1">
      <alignment horizontal="left" vertical="center"/>
    </xf>
    <xf numFmtId="0" fontId="23" fillId="0" borderId="5" xfId="0" applyFont="1" applyFill="1" applyBorder="1" applyAlignment="1" applyProtection="1">
      <alignment horizontal="right" vertical="center"/>
    </xf>
    <xf numFmtId="166" fontId="4" fillId="0" borderId="11" xfId="0" applyNumberFormat="1" applyFont="1" applyBorder="1" applyAlignment="1">
      <alignment horizontal="center" vertical="center"/>
    </xf>
    <xf numFmtId="0" fontId="27" fillId="0" borderId="10" xfId="0" applyFont="1" applyFill="1" applyBorder="1" applyAlignment="1" applyProtection="1">
      <alignment horizontal="left" vertical="center"/>
    </xf>
    <xf numFmtId="166" fontId="4" fillId="0" borderId="19" xfId="0" applyNumberFormat="1" applyFont="1" applyBorder="1" applyAlignment="1">
      <alignment horizontal="center" vertical="center"/>
    </xf>
    <xf numFmtId="0" fontId="27" fillId="0" borderId="5" xfId="0" applyFont="1" applyFill="1" applyBorder="1" applyAlignment="1" applyProtection="1">
      <alignment horizontal="left"/>
    </xf>
    <xf numFmtId="0" fontId="15" fillId="0" borderId="0" xfId="0" applyFont="1" applyAlignment="1">
      <alignment vertical="top"/>
    </xf>
    <xf numFmtId="0" fontId="17" fillId="0" borderId="0" xfId="2" applyFont="1" applyAlignment="1">
      <alignment vertical="center"/>
    </xf>
    <xf numFmtId="0" fontId="11" fillId="0" borderId="4" xfId="0" applyFont="1" applyBorder="1" applyAlignment="1">
      <alignment horizontal="center" vertical="center"/>
    </xf>
    <xf numFmtId="166" fontId="23" fillId="0" borderId="4" xfId="0" applyNumberFormat="1" applyFont="1" applyFill="1" applyBorder="1" applyAlignment="1" applyProtection="1">
      <alignment horizontal="center" vertical="center"/>
    </xf>
    <xf numFmtId="166" fontId="0" fillId="0" borderId="4" xfId="0" applyNumberFormat="1" applyFont="1" applyBorder="1" applyAlignment="1">
      <alignment horizontal="center" vertical="center"/>
    </xf>
    <xf numFmtId="166" fontId="0" fillId="0" borderId="22" xfId="0" applyNumberFormat="1" applyFont="1" applyBorder="1" applyAlignment="1">
      <alignment horizontal="center" vertical="center"/>
    </xf>
    <xf numFmtId="0" fontId="23" fillId="0" borderId="19" xfId="0" applyFont="1" applyFill="1" applyBorder="1" applyAlignment="1" applyProtection="1">
      <alignment horizontal="right" vertical="center"/>
    </xf>
    <xf numFmtId="0" fontId="0" fillId="0" borderId="19" xfId="0" applyFont="1" applyBorder="1" applyAlignment="1">
      <alignment horizontal="left" vertical="center"/>
    </xf>
    <xf numFmtId="0" fontId="0" fillId="0" borderId="5" xfId="0" applyFont="1" applyBorder="1" applyAlignment="1">
      <alignment vertical="center"/>
    </xf>
    <xf numFmtId="0" fontId="0" fillId="0" borderId="0" xfId="0" applyBorder="1" applyAlignment="1"/>
    <xf numFmtId="0" fontId="0" fillId="0" borderId="5" xfId="0" applyFont="1" applyBorder="1"/>
    <xf numFmtId="0" fontId="0" fillId="0" borderId="5" xfId="0" applyFont="1" applyBorder="1" applyAlignment="1">
      <alignment horizontal="right"/>
    </xf>
    <xf numFmtId="0" fontId="15" fillId="0" borderId="10" xfId="0" applyFont="1" applyBorder="1"/>
    <xf numFmtId="0" fontId="9" fillId="4" borderId="23" xfId="0" applyFont="1" applyFill="1" applyBorder="1" applyAlignment="1" applyProtection="1">
      <alignment vertical="center"/>
    </xf>
    <xf numFmtId="0" fontId="10" fillId="0" borderId="0" xfId="0" applyFont="1" applyAlignment="1"/>
    <xf numFmtId="0" fontId="11" fillId="0" borderId="0" xfId="0" applyFont="1"/>
    <xf numFmtId="0" fontId="14" fillId="0" borderId="0" xfId="2" applyAlignment="1">
      <alignment horizontal="left"/>
    </xf>
    <xf numFmtId="0" fontId="8" fillId="0" borderId="5" xfId="0" applyFont="1" applyFill="1" applyBorder="1" applyAlignment="1" applyProtection="1">
      <alignment vertical="center"/>
    </xf>
    <xf numFmtId="44" fontId="9" fillId="4" borderId="24" xfId="1" applyNumberFormat="1" applyFont="1" applyFill="1" applyBorder="1" applyAlignment="1" applyProtection="1">
      <alignment horizontal="center" vertical="center"/>
    </xf>
    <xf numFmtId="44" fontId="9" fillId="4" borderId="25" xfId="1" applyNumberFormat="1" applyFont="1" applyFill="1" applyBorder="1" applyAlignment="1" applyProtection="1">
      <alignment horizontal="center" vertical="center"/>
    </xf>
    <xf numFmtId="0" fontId="29" fillId="0" borderId="6" xfId="0" applyFont="1" applyBorder="1" applyAlignment="1">
      <alignment horizontal="right" wrapText="1"/>
    </xf>
    <xf numFmtId="166" fontId="30" fillId="0" borderId="0" xfId="0" applyNumberFormat="1" applyFont="1" applyAlignment="1">
      <alignment horizontal="left"/>
    </xf>
    <xf numFmtId="0" fontId="29" fillId="0" borderId="6" xfId="0" applyFont="1" applyFill="1" applyBorder="1" applyAlignment="1">
      <alignment horizontal="right" wrapText="1"/>
    </xf>
    <xf numFmtId="42" fontId="9" fillId="9" borderId="21" xfId="1" applyNumberFormat="1" applyFont="1" applyFill="1" applyBorder="1" applyAlignment="1" applyProtection="1">
      <alignment horizontal="center" vertical="center"/>
    </xf>
    <xf numFmtId="0" fontId="9" fillId="9" borderId="13" xfId="0" applyFont="1" applyFill="1" applyBorder="1" applyAlignment="1" applyProtection="1">
      <alignment vertical="center"/>
    </xf>
    <xf numFmtId="42" fontId="9" fillId="9" borderId="18" xfId="1" applyNumberFormat="1" applyFont="1" applyFill="1" applyBorder="1" applyAlignment="1" applyProtection="1">
      <alignment horizontal="center" vertical="center"/>
    </xf>
    <xf numFmtId="0" fontId="15" fillId="0" borderId="19" xfId="0" applyFont="1" applyBorder="1" applyAlignment="1">
      <alignment horizontal="left" vertical="center" wrapText="1"/>
    </xf>
    <xf numFmtId="0" fontId="24" fillId="10" borderId="13" xfId="0" applyFont="1" applyFill="1" applyBorder="1" applyAlignment="1" applyProtection="1">
      <alignment horizontal="center" vertical="center"/>
    </xf>
    <xf numFmtId="0" fontId="24" fillId="10" borderId="21" xfId="0" applyFont="1" applyFill="1" applyBorder="1" applyAlignment="1" applyProtection="1">
      <alignment horizontal="center" vertical="center"/>
    </xf>
    <xf numFmtId="0" fontId="24" fillId="10" borderId="18" xfId="0" applyFont="1" applyFill="1" applyBorder="1" applyAlignment="1" applyProtection="1">
      <alignment horizontal="center" vertical="center"/>
    </xf>
    <xf numFmtId="0" fontId="20" fillId="9" borderId="0" xfId="0" applyFont="1" applyFill="1" applyAlignment="1">
      <alignment horizontal="center"/>
    </xf>
    <xf numFmtId="0" fontId="22" fillId="9" borderId="0" xfId="0" applyFont="1" applyFill="1" applyBorder="1" applyAlignment="1" applyProtection="1">
      <alignment horizontal="center" vertical="center"/>
    </xf>
    <xf numFmtId="0" fontId="14" fillId="0" borderId="5" xfId="2" applyBorder="1" applyAlignment="1">
      <alignment horizontal="left" vertical="center" wrapText="1"/>
    </xf>
    <xf numFmtId="0" fontId="14" fillId="0" borderId="0" xfId="2" applyAlignment="1">
      <alignment horizontal="left" vertical="center" wrapText="1"/>
    </xf>
    <xf numFmtId="0" fontId="18" fillId="0" borderId="0" xfId="2" applyFont="1" applyAlignment="1">
      <alignment horizontal="left" vertical="center" wrapText="1"/>
    </xf>
  </cellXfs>
  <cellStyles count="3">
    <cellStyle name="Currency" xfId="1" builtinId="4"/>
    <cellStyle name="Hyperlink" xfId="2" builtinId="8"/>
    <cellStyle name="Normal" xfId="0" builtinId="0"/>
  </cellStyles>
  <dxfs count="4">
    <dxf>
      <numFmt numFmtId="165" formatCode="_([$$-409]* #,##0_);_([$$-409]* \(#,##0\);_([$$-409]* &quot;-&quot;??_);_(@_)"/>
    </dxf>
    <dxf>
      <numFmt numFmtId="165" formatCode="_([$$-409]* #,##0_);_([$$-409]* \(#,##0\);_([$$-409]* &quot;-&quot;??_);_(@_)"/>
    </dxf>
    <dxf>
      <numFmt numFmtId="165" formatCode="_([$$-409]* #,##0_);_([$$-409]* \(#,##0\);_([$$-409]* &quot;-&quot;??_);_(@_)"/>
    </dxf>
    <dxf>
      <numFmt numFmtId="165" formatCode="_([$$-409]* #,##0_);_([$$-409]* \(#,##0\);_([$$-409]* &quot;-&quot;??_);_(@_)"/>
    </dxf>
  </dxfs>
  <tableStyles count="0" defaultTableStyle="TableStyleMedium2" defaultPivotStyle="PivotStyleLight16"/>
  <colors>
    <mruColors>
      <color rgb="FFFEFE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11</xdr:col>
      <xdr:colOff>168910</xdr:colOff>
      <xdr:row>1</xdr:row>
      <xdr:rowOff>59267</xdr:rowOff>
    </xdr:from>
    <xdr:to>
      <xdr:col>13</xdr:col>
      <xdr:colOff>479822</xdr:colOff>
      <xdr:row>4</xdr:row>
      <xdr:rowOff>75142</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26243" y="457200"/>
          <a:ext cx="3113379" cy="879475"/>
        </a:xfrm>
        <a:prstGeom prst="rect">
          <a:avLst/>
        </a:prstGeom>
      </xdr:spPr>
    </xdr:pic>
    <xdr:clientData/>
  </xdr:twoCellAnchor>
  <xdr:twoCellAnchor>
    <xdr:from>
      <xdr:col>1</xdr:col>
      <xdr:colOff>245534</xdr:colOff>
      <xdr:row>3</xdr:row>
      <xdr:rowOff>42333</xdr:rowOff>
    </xdr:from>
    <xdr:to>
      <xdr:col>1</xdr:col>
      <xdr:colOff>1430867</xdr:colOff>
      <xdr:row>3</xdr:row>
      <xdr:rowOff>237067</xdr:rowOff>
    </xdr:to>
    <xdr:sp macro="" textlink="">
      <xdr:nvSpPr>
        <xdr:cNvPr id="3" name="Right Arrow 2"/>
        <xdr:cNvSpPr/>
      </xdr:nvSpPr>
      <xdr:spPr>
        <a:xfrm>
          <a:off x="440267" y="855133"/>
          <a:ext cx="1185333" cy="194734"/>
        </a:xfrm>
        <a:prstGeom prst="rightArrow">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r"/>
          <a:endParaRPr lang="en-US" sz="1100"/>
        </a:p>
      </xdr:txBody>
    </xdr:sp>
    <xdr:clientData/>
  </xdr:twoCellAnchor>
  <xdr:twoCellAnchor>
    <xdr:from>
      <xdr:col>1</xdr:col>
      <xdr:colOff>254001</xdr:colOff>
      <xdr:row>5</xdr:row>
      <xdr:rowOff>76200</xdr:rowOff>
    </xdr:from>
    <xdr:to>
      <xdr:col>1</xdr:col>
      <xdr:colOff>1439334</xdr:colOff>
      <xdr:row>6</xdr:row>
      <xdr:rowOff>1</xdr:rowOff>
    </xdr:to>
    <xdr:sp macro="" textlink="">
      <xdr:nvSpPr>
        <xdr:cNvPr id="4" name="Right Arrow 3"/>
        <xdr:cNvSpPr/>
      </xdr:nvSpPr>
      <xdr:spPr>
        <a:xfrm>
          <a:off x="448734" y="1430867"/>
          <a:ext cx="1185333" cy="194734"/>
        </a:xfrm>
        <a:prstGeom prst="rightArrow">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160865</xdr:colOff>
      <xdr:row>0</xdr:row>
      <xdr:rowOff>25400</xdr:rowOff>
    </xdr:from>
    <xdr:to>
      <xdr:col>3</xdr:col>
      <xdr:colOff>16933</xdr:colOff>
      <xdr:row>0</xdr:row>
      <xdr:rowOff>550333</xdr:rowOff>
    </xdr:to>
    <xdr:sp macro="" textlink="">
      <xdr:nvSpPr>
        <xdr:cNvPr id="5" name="Right Arrow 4"/>
        <xdr:cNvSpPr/>
      </xdr:nvSpPr>
      <xdr:spPr>
        <a:xfrm>
          <a:off x="160865" y="25400"/>
          <a:ext cx="3471335" cy="524933"/>
        </a:xfrm>
        <a:prstGeom prst="rightArrow">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r"/>
          <a:endParaRPr lang="en-US" sz="1100"/>
        </a:p>
      </xdr:txBody>
    </xdr:sp>
    <xdr:clientData/>
  </xdr:twoCellAnchor>
  <xdr:twoCellAnchor>
    <xdr:from>
      <xdr:col>1</xdr:col>
      <xdr:colOff>254000</xdr:colOff>
      <xdr:row>7</xdr:row>
      <xdr:rowOff>84667</xdr:rowOff>
    </xdr:from>
    <xdr:to>
      <xdr:col>1</xdr:col>
      <xdr:colOff>1439333</xdr:colOff>
      <xdr:row>8</xdr:row>
      <xdr:rowOff>8467</xdr:rowOff>
    </xdr:to>
    <xdr:sp macro="" textlink="">
      <xdr:nvSpPr>
        <xdr:cNvPr id="6" name="Right Arrow 5"/>
        <xdr:cNvSpPr/>
      </xdr:nvSpPr>
      <xdr:spPr>
        <a:xfrm>
          <a:off x="448733" y="1981200"/>
          <a:ext cx="1185333" cy="194734"/>
        </a:xfrm>
        <a:prstGeom prst="rightArrow">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254000</xdr:colOff>
      <xdr:row>9</xdr:row>
      <xdr:rowOff>67733</xdr:rowOff>
    </xdr:from>
    <xdr:to>
      <xdr:col>1</xdr:col>
      <xdr:colOff>1439333</xdr:colOff>
      <xdr:row>9</xdr:row>
      <xdr:rowOff>262467</xdr:rowOff>
    </xdr:to>
    <xdr:sp macro="" textlink="">
      <xdr:nvSpPr>
        <xdr:cNvPr id="7" name="Right Arrow 6"/>
        <xdr:cNvSpPr/>
      </xdr:nvSpPr>
      <xdr:spPr>
        <a:xfrm>
          <a:off x="448733" y="2506133"/>
          <a:ext cx="1185333" cy="194734"/>
        </a:xfrm>
        <a:prstGeom prst="rightArrow">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237067</xdr:colOff>
      <xdr:row>11</xdr:row>
      <xdr:rowOff>25400</xdr:rowOff>
    </xdr:from>
    <xdr:to>
      <xdr:col>1</xdr:col>
      <xdr:colOff>1422400</xdr:colOff>
      <xdr:row>11</xdr:row>
      <xdr:rowOff>220134</xdr:rowOff>
    </xdr:to>
    <xdr:sp macro="" textlink="">
      <xdr:nvSpPr>
        <xdr:cNvPr id="8" name="Right Arrow 7"/>
        <xdr:cNvSpPr/>
      </xdr:nvSpPr>
      <xdr:spPr>
        <a:xfrm>
          <a:off x="431800" y="2988733"/>
          <a:ext cx="1185333" cy="194734"/>
        </a:xfrm>
        <a:prstGeom prst="rightArrow">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0</xdr:colOff>
      <xdr:row>25</xdr:row>
      <xdr:rowOff>59266</xdr:rowOff>
    </xdr:from>
    <xdr:to>
      <xdr:col>4</xdr:col>
      <xdr:colOff>761999</xdr:colOff>
      <xdr:row>25</xdr:row>
      <xdr:rowOff>211665</xdr:rowOff>
    </xdr:to>
    <xdr:sp macro="" textlink="">
      <xdr:nvSpPr>
        <xdr:cNvPr id="9" name="Right Arrow 8"/>
        <xdr:cNvSpPr/>
      </xdr:nvSpPr>
      <xdr:spPr>
        <a:xfrm>
          <a:off x="5173133" y="7171266"/>
          <a:ext cx="761999" cy="152399"/>
        </a:xfrm>
        <a:prstGeom prst="rightArrow">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r"/>
          <a:endParaRPr lang="en-US" sz="1100"/>
        </a:p>
      </xdr:txBody>
    </xdr:sp>
    <xdr:clientData/>
  </xdr:twoCellAnchor>
  <xdr:twoCellAnchor>
    <xdr:from>
      <xdr:col>3</xdr:col>
      <xdr:colOff>990601</xdr:colOff>
      <xdr:row>35</xdr:row>
      <xdr:rowOff>25401</xdr:rowOff>
    </xdr:from>
    <xdr:to>
      <xdr:col>4</xdr:col>
      <xdr:colOff>770468</xdr:colOff>
      <xdr:row>35</xdr:row>
      <xdr:rowOff>194734</xdr:rowOff>
    </xdr:to>
    <xdr:sp macro="" textlink="">
      <xdr:nvSpPr>
        <xdr:cNvPr id="11" name="Right Arrow 10"/>
        <xdr:cNvSpPr/>
      </xdr:nvSpPr>
      <xdr:spPr>
        <a:xfrm>
          <a:off x="4817534" y="9584268"/>
          <a:ext cx="1126067" cy="169333"/>
        </a:xfrm>
        <a:prstGeom prst="rightArrow">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r"/>
          <a:endParaRPr lang="en-US" sz="1100"/>
        </a:p>
      </xdr:txBody>
    </xdr:sp>
    <xdr:clientData/>
  </xdr:twoCellAnchor>
</xdr:wsDr>
</file>

<file path=xl/tables/table1.xml><?xml version="1.0" encoding="utf-8"?>
<table xmlns="http://schemas.openxmlformats.org/spreadsheetml/2006/main" id="1" name="Table1" displayName="Table1" ref="A3:A8" totalsRowShown="0">
  <autoFilter ref="A3:A8"/>
  <tableColumns count="1">
    <tableColumn id="1" name="Program"/>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3:E14" totalsRowShown="0">
  <autoFilter ref="B3:E14"/>
  <tableColumns count="4">
    <tableColumn id="1" name="Full Residence Unit" dataDxfId="3"/>
    <tableColumn id="2" name="Half Residence" dataDxfId="2"/>
    <tableColumn id="3" name="Quarter Residence" dataDxfId="1"/>
    <tableColumn id="4" name="Extended Residenc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health.columbia.edu/content/request-waiver" TargetMode="External"/><Relationship Id="rId2" Type="http://schemas.openxmlformats.org/officeDocument/2006/relationships/hyperlink" Target="https://www.health.columbia.edu/content/about-columbia-university-student-health-insurance-plan" TargetMode="External"/><Relationship Id="rId1" Type="http://schemas.openxmlformats.org/officeDocument/2006/relationships/hyperlink" Target="https://sfs.columbia.edu/content/billing-schedul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39"/>
  <sheetViews>
    <sheetView showGridLines="0" tabSelected="1" zoomScale="90" zoomScaleNormal="90" workbookViewId="0">
      <selection activeCell="O28" sqref="O28"/>
    </sheetView>
  </sheetViews>
  <sheetFormatPr defaultColWidth="8.88671875" defaultRowHeight="14.4" x14ac:dyDescent="0.3"/>
  <cols>
    <col min="1" max="1" width="2.88671875" style="1" customWidth="1"/>
    <col min="2" max="2" width="26" style="1" customWidth="1"/>
    <col min="3" max="3" width="26.88671875" style="1" customWidth="1"/>
    <col min="4" max="4" width="19.6640625" style="1" customWidth="1"/>
    <col min="5" max="5" width="12" style="1" customWidth="1"/>
    <col min="6" max="6" width="8.33203125" style="1" hidden="1" customWidth="1"/>
    <col min="7" max="7" width="6.6640625" style="1" hidden="1" customWidth="1"/>
    <col min="8" max="8" width="9" style="1" hidden="1" customWidth="1"/>
    <col min="9" max="9" width="10" style="1" hidden="1" customWidth="1"/>
    <col min="10" max="10" width="5.33203125" style="1" hidden="1" customWidth="1"/>
    <col min="11" max="11" width="3.5546875" style="1" customWidth="1"/>
    <col min="12" max="12" width="2.6640625" style="1" customWidth="1"/>
    <col min="13" max="13" width="38.109375" style="1" customWidth="1"/>
    <col min="14" max="16" width="20.6640625" style="1" customWidth="1"/>
    <col min="17" max="17" width="12.33203125" style="1" bestFit="1" customWidth="1"/>
    <col min="18" max="16384" width="8.88671875" style="1"/>
  </cols>
  <sheetData>
    <row r="1" spans="2:17" ht="45" customHeight="1" x14ac:dyDescent="0.3">
      <c r="B1" s="50" t="s">
        <v>52</v>
      </c>
      <c r="M1" s="51" t="s">
        <v>50</v>
      </c>
      <c r="N1" s="33"/>
      <c r="O1" s="33"/>
    </row>
    <row r="2" spans="2:17" ht="25.2" customHeight="1" x14ac:dyDescent="0.4">
      <c r="B2" s="112" t="s">
        <v>49</v>
      </c>
      <c r="C2" s="112"/>
      <c r="N2" s="37"/>
    </row>
    <row r="3" spans="2:17" ht="21" customHeight="1" thickBot="1" x14ac:dyDescent="0.35">
      <c r="B3" s="20" t="s">
        <v>22</v>
      </c>
      <c r="N3" s="37"/>
    </row>
    <row r="4" spans="2:17" ht="21" customHeight="1" thickBot="1" x14ac:dyDescent="0.35">
      <c r="C4" s="19"/>
      <c r="I4" s="1" t="s">
        <v>28</v>
      </c>
      <c r="J4" s="1" t="e">
        <f>VLOOKUP(C4, inputs!$A$4:$E$8, 2, FALSE)</f>
        <v>#N/A</v>
      </c>
    </row>
    <row r="5" spans="2:17" ht="21" customHeight="1" thickBot="1" x14ac:dyDescent="0.35">
      <c r="B5" s="20" t="s">
        <v>54</v>
      </c>
      <c r="F5" s="1" t="s">
        <v>32</v>
      </c>
      <c r="I5" s="29" t="s">
        <v>29</v>
      </c>
      <c r="J5" s="1" t="e">
        <f>VLOOKUP(C4, inputs!$A$4:$E$8, 3, FALSE)</f>
        <v>#N/A</v>
      </c>
      <c r="M5" s="97" t="s">
        <v>80</v>
      </c>
      <c r="N5" s="97"/>
      <c r="O5" s="97"/>
      <c r="P5" s="97"/>
    </row>
    <row r="6" spans="2:17" ht="21" customHeight="1" thickBot="1" x14ac:dyDescent="0.35">
      <c r="C6" s="19"/>
      <c r="E6" s="35" t="str">
        <f>IF(C6=inputs!A13, "6 credits required for federal aid", " ")</f>
        <v xml:space="preserve"> </v>
      </c>
      <c r="F6" s="1" t="e">
        <f>VLOOKUP(C6, I4:J7, 2, FALSE)</f>
        <v>#N/A</v>
      </c>
      <c r="I6" s="1" t="s">
        <v>30</v>
      </c>
      <c r="J6" s="1" t="e">
        <f>VLOOKUP(C4, inputs!$A$4:$E$8, 4, FALSE)</f>
        <v>#N/A</v>
      </c>
      <c r="M6" s="96" t="s">
        <v>79</v>
      </c>
      <c r="O6" s="98" t="s">
        <v>43</v>
      </c>
    </row>
    <row r="7" spans="2:17" ht="21" customHeight="1" thickBot="1" x14ac:dyDescent="0.35">
      <c r="B7" s="20" t="s">
        <v>55</v>
      </c>
      <c r="F7" s="1" t="s">
        <v>33</v>
      </c>
      <c r="I7" s="1" t="s">
        <v>31</v>
      </c>
      <c r="J7" s="1" t="e">
        <f>VLOOKUP(C4, inputs!$A$4:$E$8, 5, FALSE)</f>
        <v>#N/A</v>
      </c>
      <c r="M7" s="7" t="s">
        <v>65</v>
      </c>
      <c r="N7" s="8" t="s">
        <v>1</v>
      </c>
      <c r="O7" s="8" t="s">
        <v>2</v>
      </c>
      <c r="P7" s="9" t="s">
        <v>3</v>
      </c>
    </row>
    <row r="8" spans="2:17" ht="21" customHeight="1" thickBot="1" x14ac:dyDescent="0.35">
      <c r="C8" s="19"/>
      <c r="E8" s="35" t="str">
        <f>IF(C8=inputs!A13, "6 credits required for federal aid", " ")</f>
        <v xml:space="preserve"> </v>
      </c>
      <c r="F8" s="1" t="e">
        <f>VLOOKUP(C8, I4:J7, 2, FALSE)</f>
        <v>#N/A</v>
      </c>
      <c r="M8" s="10" t="s">
        <v>20</v>
      </c>
      <c r="N8" s="31" t="e">
        <f>F6</f>
        <v>#N/A</v>
      </c>
      <c r="O8" s="31" t="e">
        <f>F8</f>
        <v>#N/A</v>
      </c>
      <c r="P8" s="11" t="e">
        <f>SUM(N8:O8)</f>
        <v>#N/A</v>
      </c>
    </row>
    <row r="9" spans="2:17" ht="21" customHeight="1" thickBot="1" x14ac:dyDescent="0.35">
      <c r="B9" s="40" t="s">
        <v>0</v>
      </c>
      <c r="F9" s="1" t="s">
        <v>37</v>
      </c>
      <c r="G9" s="1" t="e">
        <f>VLOOKUP(C6, inputs!$A$11:$B$14, 2, FALSE)</f>
        <v>#N/A</v>
      </c>
      <c r="H9" s="1" t="e">
        <f>VLOOKUP(C8, inputs!$A$11:$B$14, 2, FALSE)</f>
        <v>#N/A</v>
      </c>
      <c r="M9" s="10" t="s">
        <v>15</v>
      </c>
      <c r="N9" s="31" t="e">
        <f>G10</f>
        <v>#N/A</v>
      </c>
      <c r="O9" s="31" t="e">
        <f>H10</f>
        <v>#N/A</v>
      </c>
      <c r="P9" s="11" t="e">
        <f t="shared" ref="P9:P12" si="0">SUM(N9:O9)</f>
        <v>#N/A</v>
      </c>
      <c r="Q9" s="49"/>
    </row>
    <row r="10" spans="2:17" ht="21" customHeight="1" thickBot="1" x14ac:dyDescent="0.35">
      <c r="C10" s="4"/>
      <c r="F10" s="1" t="s">
        <v>38</v>
      </c>
      <c r="G10" s="1" t="e">
        <f>VLOOKUP(C6, inputs!$A$17:$B$20, 2, FALSE)</f>
        <v>#N/A</v>
      </c>
      <c r="H10" s="1" t="e">
        <f>VLOOKUP(C8, inputs!$A$17:$B$20, 2, FALSE)</f>
        <v>#N/A</v>
      </c>
      <c r="M10" s="10" t="s">
        <v>21</v>
      </c>
      <c r="N10" s="30">
        <f>IF(C10="Yes",170,0)</f>
        <v>0</v>
      </c>
      <c r="O10" s="30">
        <f>IF(C10="Yes",170,0)</f>
        <v>0</v>
      </c>
      <c r="P10" s="12">
        <f>SUM(N10:O10)</f>
        <v>0</v>
      </c>
      <c r="Q10" s="41"/>
    </row>
    <row r="11" spans="2:17" ht="21" customHeight="1" thickBot="1" x14ac:dyDescent="0.35">
      <c r="B11" s="40" t="s">
        <v>4</v>
      </c>
      <c r="E11" s="38"/>
      <c r="F11" s="36"/>
      <c r="G11" s="36"/>
      <c r="I11" s="36"/>
      <c r="J11" s="36"/>
      <c r="K11" s="45"/>
      <c r="L11" s="39"/>
      <c r="M11" s="10" t="s">
        <v>44</v>
      </c>
      <c r="N11" s="31">
        <f>IF(C12= "Yes", 2077, IF(C12= "No", 0,0))</f>
        <v>0</v>
      </c>
      <c r="O11" s="31">
        <f>IF(C12= "Yes",3374, IF(C12= "No",0,0))</f>
        <v>0</v>
      </c>
      <c r="P11" s="11">
        <f>SUM(N11:O11)</f>
        <v>0</v>
      </c>
      <c r="Q11" s="41"/>
    </row>
    <row r="12" spans="2:17" ht="21" customHeight="1" thickBot="1" x14ac:dyDescent="0.35">
      <c r="C12" s="5"/>
      <c r="D12" s="114" t="str">
        <f>IF(C12="No", "Review Columbia Health Waiver", " ")</f>
        <v xml:space="preserve"> </v>
      </c>
      <c r="E12" s="115"/>
      <c r="M12" s="10" t="s">
        <v>34</v>
      </c>
      <c r="N12" s="32" t="e">
        <f>G9</f>
        <v>#N/A</v>
      </c>
      <c r="O12" s="31" t="e">
        <f>H9</f>
        <v>#N/A</v>
      </c>
      <c r="P12" s="11" t="e">
        <f t="shared" si="0"/>
        <v>#N/A</v>
      </c>
    </row>
    <row r="13" spans="2:17" ht="21" customHeight="1" x14ac:dyDescent="0.3">
      <c r="B13" s="116" t="s">
        <v>47</v>
      </c>
      <c r="C13" s="116"/>
      <c r="D13" s="116"/>
      <c r="E13" s="43"/>
      <c r="F13" s="42"/>
      <c r="G13" s="42"/>
      <c r="H13" s="42"/>
      <c r="I13" s="42"/>
      <c r="J13" s="46"/>
      <c r="K13" s="46"/>
      <c r="L13" s="2"/>
      <c r="M13" s="10" t="s">
        <v>81</v>
      </c>
      <c r="N13" s="32">
        <v>46</v>
      </c>
      <c r="O13" s="31">
        <v>46</v>
      </c>
      <c r="P13" s="11">
        <f>SUM(N13,O13)</f>
        <v>92</v>
      </c>
    </row>
    <row r="14" spans="2:17" ht="21" customHeight="1" x14ac:dyDescent="0.3">
      <c r="B14" s="47"/>
      <c r="C14" s="47"/>
      <c r="D14" s="47"/>
      <c r="E14" s="43"/>
      <c r="F14" s="42"/>
      <c r="G14" s="42"/>
      <c r="H14" s="42"/>
      <c r="I14" s="42"/>
      <c r="J14" s="46"/>
      <c r="K14" s="46"/>
      <c r="L14" s="2"/>
      <c r="M14" s="10" t="s">
        <v>35</v>
      </c>
      <c r="N14" s="32">
        <v>105</v>
      </c>
      <c r="O14" s="31">
        <v>0</v>
      </c>
      <c r="P14" s="11">
        <f>SUM(N14:O14)</f>
        <v>105</v>
      </c>
    </row>
    <row r="15" spans="2:17" ht="25.2" customHeight="1" x14ac:dyDescent="0.4">
      <c r="B15" s="112" t="s">
        <v>51</v>
      </c>
      <c r="C15" s="112"/>
      <c r="D15" s="47"/>
      <c r="E15" s="43"/>
      <c r="F15" s="42"/>
      <c r="G15" s="42"/>
      <c r="H15" s="42"/>
      <c r="I15" s="42"/>
      <c r="J15" s="46"/>
      <c r="K15" s="46"/>
      <c r="L15" s="2"/>
      <c r="M15" s="14" t="s">
        <v>40</v>
      </c>
      <c r="N15" s="15" t="e">
        <f>SUM(N8:N14)</f>
        <v>#N/A</v>
      </c>
      <c r="O15" s="15" t="e">
        <f>SUM(O8:O14)</f>
        <v>#N/A</v>
      </c>
      <c r="P15" s="16" t="e">
        <f>SUM(N15:O15)</f>
        <v>#N/A</v>
      </c>
    </row>
    <row r="16" spans="2:17" ht="21" customHeight="1" thickBot="1" x14ac:dyDescent="0.35">
      <c r="B16" s="17" t="s">
        <v>41</v>
      </c>
      <c r="F16" s="1" t="s">
        <v>5</v>
      </c>
      <c r="M16" s="99" t="s">
        <v>45</v>
      </c>
      <c r="N16" s="67">
        <f>G26</f>
        <v>0</v>
      </c>
      <c r="O16" s="67">
        <f>H26</f>
        <v>0</v>
      </c>
      <c r="P16" s="68">
        <f t="shared" ref="P16:P18" si="1">SUM(N16:O16)</f>
        <v>0</v>
      </c>
    </row>
    <row r="17" spans="2:19" ht="21" customHeight="1" thickBot="1" x14ac:dyDescent="0.35">
      <c r="B17" s="75" t="s">
        <v>16</v>
      </c>
      <c r="C17" s="6"/>
      <c r="D17" s="21"/>
      <c r="F17" s="1" t="s">
        <v>7</v>
      </c>
      <c r="G17" s="1" t="s">
        <v>8</v>
      </c>
      <c r="J17" s="2"/>
      <c r="K17" s="2"/>
      <c r="L17" s="2"/>
      <c r="M17" s="99" t="s">
        <v>46</v>
      </c>
      <c r="N17" s="67">
        <f>G30</f>
        <v>0</v>
      </c>
      <c r="O17" s="67">
        <f>H30</f>
        <v>0</v>
      </c>
      <c r="P17" s="68">
        <f t="shared" si="1"/>
        <v>0</v>
      </c>
    </row>
    <row r="18" spans="2:19" ht="21" customHeight="1" thickBot="1" x14ac:dyDescent="0.35">
      <c r="B18" s="75" t="s">
        <v>17</v>
      </c>
      <c r="C18" s="6"/>
      <c r="D18" s="21"/>
      <c r="F18" s="18"/>
      <c r="J18" s="2"/>
      <c r="K18" s="2"/>
      <c r="L18" s="2"/>
      <c r="M18" s="99" t="s">
        <v>6</v>
      </c>
      <c r="N18" s="67">
        <f>N29</f>
        <v>0</v>
      </c>
      <c r="O18" s="67">
        <f>O29</f>
        <v>0</v>
      </c>
      <c r="P18" s="68">
        <f t="shared" si="1"/>
        <v>0</v>
      </c>
    </row>
    <row r="19" spans="2:19" ht="16.2" customHeight="1" x14ac:dyDescent="0.3">
      <c r="B19" s="13"/>
      <c r="C19" s="21"/>
      <c r="D19" s="21"/>
      <c r="F19" s="1">
        <f>IF(C18&gt;8000, (C18/2), C18)</f>
        <v>0</v>
      </c>
      <c r="G19" s="1">
        <f>IF(C18&gt;8000, (C18/2), 0)</f>
        <v>0</v>
      </c>
      <c r="J19" s="2"/>
      <c r="K19" s="2"/>
      <c r="L19" s="2"/>
      <c r="M19" s="10" t="s">
        <v>9</v>
      </c>
      <c r="N19" s="67">
        <f>F19+C21+C22</f>
        <v>0</v>
      </c>
      <c r="O19" s="67">
        <f>G19+D21+D22</f>
        <v>0</v>
      </c>
      <c r="P19" s="68">
        <f>SUM(N19:O19)</f>
        <v>0</v>
      </c>
    </row>
    <row r="20" spans="2:19" ht="21" customHeight="1" thickBot="1" x14ac:dyDescent="0.35">
      <c r="B20" s="13"/>
      <c r="C20" s="21" t="s">
        <v>13</v>
      </c>
      <c r="D20" s="21" t="s">
        <v>14</v>
      </c>
      <c r="M20" s="10" t="s">
        <v>16</v>
      </c>
      <c r="N20" s="69">
        <f>C17</f>
        <v>0</v>
      </c>
      <c r="O20" s="69">
        <v>0</v>
      </c>
      <c r="P20" s="68">
        <f>SUM(N20:O20)</f>
        <v>0</v>
      </c>
      <c r="Q20" s="41"/>
    </row>
    <row r="21" spans="2:19" ht="21" customHeight="1" thickBot="1" x14ac:dyDescent="0.35">
      <c r="B21" s="75" t="s">
        <v>19</v>
      </c>
      <c r="C21" s="22"/>
      <c r="D21" s="6"/>
      <c r="M21" s="95" t="s">
        <v>11</v>
      </c>
      <c r="N21" s="100">
        <f>SUM(N16:N20)</f>
        <v>0</v>
      </c>
      <c r="O21" s="100">
        <f>SUM(O16:O20)</f>
        <v>0</v>
      </c>
      <c r="P21" s="101">
        <f>SUM(P16:P20)</f>
        <v>0</v>
      </c>
    </row>
    <row r="22" spans="2:19" ht="21" customHeight="1" thickBot="1" x14ac:dyDescent="0.35">
      <c r="B22" s="75" t="s">
        <v>18</v>
      </c>
      <c r="C22" s="22"/>
      <c r="D22" s="6"/>
      <c r="M22" s="106" t="s">
        <v>12</v>
      </c>
      <c r="N22" s="105" t="e">
        <f>N15-N21</f>
        <v>#N/A</v>
      </c>
      <c r="O22" s="105" t="e">
        <f>O15-O21</f>
        <v>#N/A</v>
      </c>
      <c r="P22" s="107" t="e">
        <f>P15-P21</f>
        <v>#N/A</v>
      </c>
      <c r="Q22" s="34"/>
      <c r="R22" s="34"/>
    </row>
    <row r="23" spans="2:19" ht="21" customHeight="1" x14ac:dyDescent="0.3">
      <c r="J23" s="2"/>
      <c r="K23" s="2"/>
      <c r="M23" s="34" t="e">
        <f>IF(N22&lt;0, "FALL: A negative remaining amount due indicates an anticipated REFUND amount for the semester.", " ")</f>
        <v>#N/A</v>
      </c>
      <c r="N23" s="53"/>
      <c r="O23" s="53"/>
      <c r="P23" s="53"/>
      <c r="S23" s="34"/>
    </row>
    <row r="24" spans="2:19" ht="21" customHeight="1" thickBot="1" x14ac:dyDescent="0.35">
      <c r="B24" s="113" t="s">
        <v>53</v>
      </c>
      <c r="C24" s="113"/>
      <c r="D24" s="113"/>
      <c r="M24" s="34" t="e">
        <f>IF(O22&lt;0, "SPRING: A negative remaining amount due indicates an anticipated REFUND amount for the semester.", " ")</f>
        <v>#N/A</v>
      </c>
      <c r="N24" s="53"/>
      <c r="O24" s="53"/>
      <c r="P24" s="53"/>
      <c r="Q24" s="44"/>
      <c r="R24" s="44"/>
    </row>
    <row r="25" spans="2:19" ht="21" customHeight="1" thickBot="1" x14ac:dyDescent="0.35">
      <c r="B25" s="54" t="s">
        <v>70</v>
      </c>
      <c r="C25" s="55"/>
      <c r="D25" s="55"/>
      <c r="E25" s="55"/>
      <c r="F25" s="55"/>
      <c r="G25" s="55" t="s">
        <v>7</v>
      </c>
      <c r="H25" s="55" t="s">
        <v>8</v>
      </c>
      <c r="I25" s="55"/>
      <c r="J25" s="55"/>
      <c r="K25" s="56"/>
      <c r="L25" s="2"/>
      <c r="M25" s="109" t="s">
        <v>56</v>
      </c>
      <c r="N25" s="110"/>
      <c r="O25" s="110"/>
      <c r="P25" s="111"/>
    </row>
    <row r="26" spans="2:19" ht="21" customHeight="1" thickBot="1" x14ac:dyDescent="0.35">
      <c r="B26" s="76" t="s">
        <v>78</v>
      </c>
      <c r="C26" s="2"/>
      <c r="D26" s="2"/>
      <c r="E26" s="2"/>
      <c r="F26" s="2"/>
      <c r="G26" s="58">
        <f>(N27)-(TRUNC((N27)*1.057%))</f>
        <v>0</v>
      </c>
      <c r="H26" s="58">
        <f>(O27)-(TRUNC((O27)*1.057%))</f>
        <v>0</v>
      </c>
      <c r="I26" s="58"/>
      <c r="J26" s="2"/>
      <c r="K26" s="59"/>
      <c r="L26" s="2"/>
      <c r="M26" s="70" t="s">
        <v>58</v>
      </c>
      <c r="N26" s="70" t="s">
        <v>59</v>
      </c>
      <c r="O26" s="70" t="s">
        <v>60</v>
      </c>
      <c r="P26" s="71" t="s">
        <v>61</v>
      </c>
    </row>
    <row r="27" spans="2:19" ht="21" customHeight="1" thickBot="1" x14ac:dyDescent="0.35">
      <c r="B27" s="76" t="s">
        <v>69</v>
      </c>
      <c r="C27" s="2"/>
      <c r="D27" s="2"/>
      <c r="E27" s="2"/>
      <c r="F27" s="2"/>
      <c r="G27" s="58"/>
      <c r="H27" s="58"/>
      <c r="I27" s="58"/>
      <c r="J27" s="2"/>
      <c r="K27" s="59"/>
      <c r="L27" s="2"/>
      <c r="M27" s="65" t="s">
        <v>10</v>
      </c>
      <c r="N27" s="73"/>
      <c r="O27" s="74"/>
      <c r="P27" s="72">
        <f>N27+O27</f>
        <v>0</v>
      </c>
      <c r="Q27" s="48" t="s">
        <v>42</v>
      </c>
    </row>
    <row r="28" spans="2:19" ht="21" customHeight="1" thickBot="1" x14ac:dyDescent="0.35">
      <c r="B28" s="76" t="s">
        <v>68</v>
      </c>
      <c r="C28" s="2"/>
      <c r="D28" s="2"/>
      <c r="E28" s="2"/>
      <c r="F28" s="2"/>
      <c r="G28" s="58"/>
      <c r="H28" s="58"/>
      <c r="I28" s="58"/>
      <c r="J28" s="2"/>
      <c r="K28" s="59"/>
      <c r="L28" s="2"/>
      <c r="M28" s="66" t="s">
        <v>57</v>
      </c>
      <c r="N28" s="73"/>
      <c r="O28" s="74"/>
      <c r="P28" s="72">
        <f>N28+O28</f>
        <v>0</v>
      </c>
      <c r="Q28" s="52" t="str">
        <f>IF(P27&lt;20500,"Must maximize Unsub", " ")</f>
        <v>Must maximize Unsub</v>
      </c>
    </row>
    <row r="29" spans="2:19" ht="21" customHeight="1" thickBot="1" x14ac:dyDescent="0.35">
      <c r="B29" s="57"/>
      <c r="C29" s="84" t="s">
        <v>59</v>
      </c>
      <c r="D29" s="84" t="s">
        <v>60</v>
      </c>
      <c r="E29" s="84" t="s">
        <v>62</v>
      </c>
      <c r="F29" s="2"/>
      <c r="G29" s="58"/>
      <c r="H29" s="58"/>
      <c r="I29" s="58"/>
      <c r="J29" s="2"/>
      <c r="K29" s="59"/>
      <c r="L29" s="2"/>
      <c r="M29" s="65" t="s">
        <v>73</v>
      </c>
      <c r="N29" s="73"/>
      <c r="O29" s="74"/>
      <c r="P29" s="72">
        <f>N29+O29</f>
        <v>0</v>
      </c>
    </row>
    <row r="30" spans="2:19" ht="21" customHeight="1" thickBot="1" x14ac:dyDescent="0.35">
      <c r="B30" s="77" t="s">
        <v>67</v>
      </c>
      <c r="C30" s="85">
        <v>10250</v>
      </c>
      <c r="D30" s="86">
        <v>10250</v>
      </c>
      <c r="E30" s="86">
        <v>20500</v>
      </c>
      <c r="F30" s="64" t="e">
        <f>(N15-N16-N18-N19-N20)</f>
        <v>#N/A</v>
      </c>
      <c r="G30" s="58">
        <f>(N28)-(TRUNC((N28)*4.228%))</f>
        <v>0</v>
      </c>
      <c r="H30" s="58">
        <f>(O28)-(TRUNC((O28)*4.228%))</f>
        <v>0</v>
      </c>
      <c r="I30" s="58"/>
      <c r="J30" s="2"/>
      <c r="K30" s="59"/>
      <c r="M30" s="108" t="s">
        <v>84</v>
      </c>
      <c r="N30" s="108"/>
      <c r="O30" s="108"/>
      <c r="P30" s="108"/>
    </row>
    <row r="31" spans="2:19" ht="16.2" thickBot="1" x14ac:dyDescent="0.35">
      <c r="B31" s="77" t="s">
        <v>66</v>
      </c>
      <c r="C31" s="87" t="e">
        <f>INT(F30/0.95772)</f>
        <v>#N/A</v>
      </c>
      <c r="D31" s="87" t="e">
        <f>INT(F31/0.95772)</f>
        <v>#N/A</v>
      </c>
      <c r="E31" s="87" t="e">
        <f>C31+D31</f>
        <v>#N/A</v>
      </c>
      <c r="F31" s="64" t="e">
        <f>(O15-O16-O18-O19-O20)</f>
        <v>#N/A</v>
      </c>
      <c r="G31" s="2"/>
      <c r="H31" s="58"/>
      <c r="I31" s="58"/>
      <c r="J31" s="2"/>
      <c r="K31" s="59"/>
      <c r="N31" s="102" t="s">
        <v>82</v>
      </c>
      <c r="O31" s="103" t="e">
        <f>C31+13225</f>
        <v>#N/A</v>
      </c>
    </row>
    <row r="32" spans="2:19" ht="18" customHeight="1" x14ac:dyDescent="0.3">
      <c r="B32" s="81" t="s">
        <v>76</v>
      </c>
      <c r="C32" s="80"/>
      <c r="D32" s="80"/>
      <c r="E32" s="80"/>
      <c r="F32" s="64"/>
      <c r="G32" s="2"/>
      <c r="H32" s="58"/>
      <c r="I32" s="58"/>
      <c r="J32" s="2"/>
      <c r="K32" s="59"/>
      <c r="N32" s="104" t="s">
        <v>83</v>
      </c>
      <c r="O32" s="103" t="e">
        <f>D31+16375</f>
        <v>#N/A</v>
      </c>
    </row>
    <row r="33" spans="2:13" ht="15" thickBot="1" x14ac:dyDescent="0.35">
      <c r="B33" s="79" t="s">
        <v>77</v>
      </c>
      <c r="C33" s="78"/>
      <c r="D33" s="78"/>
      <c r="E33" s="61"/>
      <c r="F33" s="60"/>
      <c r="G33" s="62"/>
      <c r="H33" s="62"/>
      <c r="I33" s="60"/>
      <c r="J33" s="60"/>
      <c r="K33" s="63"/>
      <c r="M33" s="83" t="s">
        <v>48</v>
      </c>
    </row>
    <row r="34" spans="2:13" ht="15" thickBot="1" x14ac:dyDescent="0.35">
      <c r="G34" s="3">
        <f>N29</f>
        <v>0</v>
      </c>
      <c r="H34" s="3">
        <f>O29</f>
        <v>0</v>
      </c>
      <c r="I34" s="3"/>
      <c r="M34" s="82" t="s">
        <v>63</v>
      </c>
    </row>
    <row r="35" spans="2:13" ht="21.6" customHeight="1" x14ac:dyDescent="0.3">
      <c r="B35" s="54" t="s">
        <v>71</v>
      </c>
      <c r="C35" s="88"/>
      <c r="D35" s="89"/>
      <c r="E35" s="55"/>
      <c r="F35" s="55"/>
      <c r="G35" s="55"/>
      <c r="H35" s="55"/>
      <c r="I35" s="55"/>
      <c r="J35" s="55"/>
      <c r="K35" s="56"/>
      <c r="M35" s="82" t="s">
        <v>64</v>
      </c>
    </row>
    <row r="36" spans="2:13" ht="21.6" customHeight="1" thickBot="1" x14ac:dyDescent="0.35">
      <c r="B36" s="90" t="s">
        <v>72</v>
      </c>
      <c r="C36" s="2"/>
      <c r="D36" s="91"/>
      <c r="E36" s="91"/>
      <c r="F36" s="2"/>
      <c r="G36" s="2"/>
      <c r="H36" s="2"/>
      <c r="I36" s="2"/>
      <c r="J36" s="2"/>
      <c r="K36" s="59"/>
    </row>
    <row r="37" spans="2:13" ht="21.6" customHeight="1" thickBot="1" x14ac:dyDescent="0.35">
      <c r="B37" s="92"/>
      <c r="C37" s="84" t="s">
        <v>59</v>
      </c>
      <c r="D37" s="84" t="s">
        <v>60</v>
      </c>
      <c r="E37" s="84" t="s">
        <v>62</v>
      </c>
      <c r="F37" s="2"/>
      <c r="G37" s="2"/>
      <c r="H37" s="2"/>
      <c r="I37" s="2"/>
      <c r="J37" s="2"/>
      <c r="K37" s="59"/>
    </row>
    <row r="38" spans="2:13" ht="21.6" customHeight="1" thickBot="1" x14ac:dyDescent="0.35">
      <c r="B38" s="93" t="s">
        <v>75</v>
      </c>
      <c r="C38" s="85" t="e">
        <f>N22</f>
        <v>#N/A</v>
      </c>
      <c r="D38" s="86" t="e">
        <f>O22</f>
        <v>#N/A</v>
      </c>
      <c r="E38" s="86" t="e">
        <f>D38+C38</f>
        <v>#N/A</v>
      </c>
      <c r="F38" s="2"/>
      <c r="G38" s="2"/>
      <c r="H38" s="2"/>
      <c r="I38" s="2"/>
      <c r="J38" s="2"/>
      <c r="K38" s="59"/>
    </row>
    <row r="39" spans="2:13" ht="21.6" customHeight="1" thickBot="1" x14ac:dyDescent="0.35">
      <c r="B39" s="94" t="s">
        <v>74</v>
      </c>
      <c r="C39" s="60"/>
      <c r="D39" s="60"/>
      <c r="E39" s="60"/>
      <c r="F39" s="60"/>
      <c r="G39" s="60"/>
      <c r="H39" s="60"/>
      <c r="I39" s="60"/>
      <c r="J39" s="60"/>
      <c r="K39" s="63"/>
    </row>
  </sheetData>
  <mergeCells count="7">
    <mergeCell ref="M30:P30"/>
    <mergeCell ref="M25:P25"/>
    <mergeCell ref="B2:C2"/>
    <mergeCell ref="B15:C15"/>
    <mergeCell ref="B24:D24"/>
    <mergeCell ref="D12:E12"/>
    <mergeCell ref="B13:D13"/>
  </mergeCells>
  <dataValidations count="4">
    <dataValidation type="list" allowBlank="1" showInputMessage="1" showErrorMessage="1" sqref="C10 C12">
      <formula1>"Yes, No"</formula1>
    </dataValidation>
    <dataValidation type="whole" allowBlank="1" showInputMessage="1" showErrorMessage="1" errorTitle="Error" error="The Direct Unsubsidized loan must be between $500 and $20,500." sqref="O27">
      <formula1>500</formula1>
      <formula2>20500</formula2>
    </dataValidation>
    <dataValidation type="whole" allowBlank="1" showInputMessage="1" showErrorMessage="1" errorTitle="Error" error="Please enter a whole number." sqref="C17">
      <formula1>0</formula1>
      <formula2>10000</formula2>
    </dataValidation>
    <dataValidation type="whole" allowBlank="1" showInputMessage="1" showErrorMessage="1" errorTitle="Error" error="Enter the amount in whole numbers. Confirm award amount is correct." sqref="C18">
      <formula1>0</formula1>
      <formula2>100000</formula2>
    </dataValidation>
  </dataValidations>
  <hyperlinks>
    <hyperlink ref="O6" r:id="rId1"/>
    <hyperlink ref="M33" r:id="rId2" display="*Based on Student only enrollment; refer to Columbia Health site for dependent costs"/>
    <hyperlink ref="D12" r:id="rId3" display="https://www.health.columbia.edu/content/request-waiver"/>
  </hyperlinks>
  <pageMargins left="0.7" right="0.7" top="0.75" bottom="0.75" header="0.3" footer="0.3"/>
  <pageSetup paperSize="0" orientation="portrait" horizontalDpi="0" verticalDpi="0" copies="0"/>
  <drawing r:id="rId4"/>
  <extLst>
    <ext xmlns:x14="http://schemas.microsoft.com/office/spreadsheetml/2009/9/main" uri="{CCE6A557-97BC-4b89-ADB6-D9C93CAAB3DF}">
      <x14:dataValidations xmlns:xm="http://schemas.microsoft.com/office/excel/2006/main" count="2">
        <x14:dataValidation type="list" allowBlank="1" showInputMessage="1" showErrorMessage="1">
          <x14:formula1>
            <xm:f>inputs!$A$4:$A$8</xm:f>
          </x14:formula1>
          <xm:sqref>C4</xm:sqref>
        </x14:dataValidation>
        <x14:dataValidation type="list" allowBlank="1" showInputMessage="1" showErrorMessage="1">
          <x14:formula1>
            <xm:f>inputs!$B$3:$E$3</xm:f>
          </x14:formula1>
          <xm:sqref>C6 C8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20"/>
  <sheetViews>
    <sheetView workbookViewId="0">
      <selection activeCell="B26" sqref="B26"/>
    </sheetView>
  </sheetViews>
  <sheetFormatPr defaultRowHeight="14.4" x14ac:dyDescent="0.3"/>
  <cols>
    <col min="1" max="1" width="28.88671875" customWidth="1"/>
    <col min="2" max="2" width="20.33203125" customWidth="1"/>
    <col min="3" max="3" width="16.33203125" customWidth="1"/>
    <col min="4" max="4" width="19.5546875" customWidth="1"/>
    <col min="5" max="5" width="21.109375" customWidth="1"/>
  </cols>
  <sheetData>
    <row r="3" spans="1:5" x14ac:dyDescent="0.3">
      <c r="A3" t="s">
        <v>27</v>
      </c>
      <c r="B3" t="s">
        <v>28</v>
      </c>
      <c r="C3" s="23" t="s">
        <v>29</v>
      </c>
      <c r="D3" t="s">
        <v>30</v>
      </c>
      <c r="E3" t="s">
        <v>31</v>
      </c>
    </row>
    <row r="4" spans="1:5" x14ac:dyDescent="0.3">
      <c r="A4" t="s">
        <v>23</v>
      </c>
      <c r="B4" s="24">
        <v>42001</v>
      </c>
      <c r="C4" s="24">
        <v>22761</v>
      </c>
      <c r="D4" s="24">
        <v>13160</v>
      </c>
      <c r="E4" s="24">
        <v>15979</v>
      </c>
    </row>
    <row r="5" spans="1:5" x14ac:dyDescent="0.3">
      <c r="A5" t="s">
        <v>25</v>
      </c>
      <c r="B5" s="24">
        <v>45365</v>
      </c>
      <c r="C5" s="24">
        <v>24588</v>
      </c>
      <c r="D5" s="24">
        <v>14217</v>
      </c>
      <c r="E5" s="24">
        <v>17254</v>
      </c>
    </row>
    <row r="6" spans="1:5" x14ac:dyDescent="0.3">
      <c r="A6" t="s">
        <v>85</v>
      </c>
      <c r="B6" s="24">
        <v>47193</v>
      </c>
      <c r="C6" s="24">
        <v>25578</v>
      </c>
      <c r="D6" s="24">
        <v>14791</v>
      </c>
      <c r="E6" s="24">
        <v>17952</v>
      </c>
    </row>
    <row r="7" spans="1:5" x14ac:dyDescent="0.3">
      <c r="A7" t="s">
        <v>24</v>
      </c>
      <c r="B7" s="24">
        <v>42775</v>
      </c>
      <c r="C7" s="24">
        <v>23182</v>
      </c>
      <c r="D7" s="24">
        <v>13399</v>
      </c>
      <c r="E7" s="24">
        <v>16272</v>
      </c>
    </row>
    <row r="8" spans="1:5" x14ac:dyDescent="0.3">
      <c r="A8" t="s">
        <v>26</v>
      </c>
      <c r="B8" s="24">
        <v>36727</v>
      </c>
      <c r="C8" s="24">
        <v>19906</v>
      </c>
      <c r="D8" s="24">
        <v>11507</v>
      </c>
      <c r="E8" s="24">
        <v>13980</v>
      </c>
    </row>
    <row r="9" spans="1:5" x14ac:dyDescent="0.3">
      <c r="B9" s="24"/>
      <c r="C9" s="24"/>
      <c r="D9" s="24"/>
      <c r="E9" s="24"/>
    </row>
    <row r="10" spans="1:5" x14ac:dyDescent="0.3">
      <c r="A10" t="s">
        <v>36</v>
      </c>
      <c r="B10" s="24"/>
      <c r="C10" s="24"/>
      <c r="D10" s="24"/>
      <c r="E10" s="24"/>
    </row>
    <row r="11" spans="1:5" x14ac:dyDescent="0.3">
      <c r="A11" s="25" t="s">
        <v>28</v>
      </c>
      <c r="B11" s="24">
        <v>715</v>
      </c>
      <c r="C11" s="24"/>
      <c r="D11" s="24"/>
      <c r="E11" s="24"/>
    </row>
    <row r="12" spans="1:5" x14ac:dyDescent="0.3">
      <c r="A12" s="26" t="s">
        <v>29</v>
      </c>
      <c r="B12" s="24">
        <v>357</v>
      </c>
      <c r="C12" s="24"/>
      <c r="D12" s="24"/>
      <c r="E12" s="24"/>
    </row>
    <row r="13" spans="1:5" x14ac:dyDescent="0.3">
      <c r="A13" s="27" t="s">
        <v>30</v>
      </c>
      <c r="B13" s="24">
        <v>214</v>
      </c>
      <c r="C13" s="24"/>
      <c r="D13" s="24"/>
      <c r="E13" s="24"/>
    </row>
    <row r="14" spans="1:5" x14ac:dyDescent="0.3">
      <c r="A14" s="28" t="s">
        <v>31</v>
      </c>
      <c r="B14" s="24">
        <v>715</v>
      </c>
      <c r="C14" s="24"/>
      <c r="D14" s="24"/>
      <c r="E14" s="24"/>
    </row>
    <row r="16" spans="1:5" x14ac:dyDescent="0.3">
      <c r="A16" t="s">
        <v>39</v>
      </c>
    </row>
    <row r="17" spans="1:2" x14ac:dyDescent="0.3">
      <c r="A17" s="25" t="s">
        <v>28</v>
      </c>
      <c r="B17">
        <v>683</v>
      </c>
    </row>
    <row r="18" spans="1:2" x14ac:dyDescent="0.3">
      <c r="A18" s="26" t="s">
        <v>29</v>
      </c>
      <c r="B18">
        <v>531</v>
      </c>
    </row>
    <row r="19" spans="1:2" x14ac:dyDescent="0.3">
      <c r="A19" s="27" t="s">
        <v>30</v>
      </c>
      <c r="B19">
        <v>531</v>
      </c>
    </row>
    <row r="20" spans="1:2" x14ac:dyDescent="0.3">
      <c r="A20" s="28" t="s">
        <v>31</v>
      </c>
      <c r="B20">
        <v>683</v>
      </c>
    </row>
  </sheetData>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 Billing Estimator</vt:lpstr>
      <vt:lpstr>inputs</vt:lpstr>
    </vt:vector>
  </TitlesOfParts>
  <Company>Columbia Business School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Cardona,  Valerie</dc:creator>
  <cp:lastModifiedBy>Kate A Jenkins</cp:lastModifiedBy>
  <dcterms:created xsi:type="dcterms:W3CDTF">2019-01-16T16:44:29Z</dcterms:created>
  <dcterms:modified xsi:type="dcterms:W3CDTF">2025-03-19T18:12:59Z</dcterms:modified>
</cp:coreProperties>
</file>